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P:\PROJETO 1788- PAVIMENTAÇÃO VIAS COMUNIDADE DISTRITO BOA SORTE- CLARO DOS POÇÕES\3- ATUALIZAÇÃO PARA RECURSO PROPRIO (PMF)\PLANILHA\"/>
    </mc:Choice>
  </mc:AlternateContent>
  <xr:revisionPtr revIDLastSave="0" documentId="13_ncr:1_{D34E54D3-B2FE-4DA8-A3AA-C68E3AD21BE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MEMORIA DE CALCULO" sheetId="9" r:id="rId1"/>
  </sheets>
  <definedNames>
    <definedName name="_xlnm.Print_Area" localSheetId="0">'MEMORIA DE CALCULO'!$A$1:$J$357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2" i="9" l="1"/>
  <c r="I213" i="9"/>
  <c r="I214" i="9"/>
  <c r="I215" i="9"/>
  <c r="I216" i="9"/>
  <c r="I217" i="9"/>
  <c r="I218" i="9"/>
  <c r="I219" i="9"/>
  <c r="I182" i="9"/>
  <c r="I183" i="9"/>
  <c r="I184" i="9"/>
  <c r="I185" i="9"/>
  <c r="I186" i="9"/>
  <c r="I187" i="9"/>
  <c r="I188" i="9"/>
  <c r="I189" i="9"/>
  <c r="I167" i="9"/>
  <c r="I168" i="9"/>
  <c r="I169" i="9"/>
  <c r="I170" i="9"/>
  <c r="I171" i="9"/>
  <c r="I172" i="9"/>
  <c r="I173" i="9"/>
  <c r="I174" i="9"/>
  <c r="I135" i="9"/>
  <c r="I136" i="9"/>
  <c r="I137" i="9"/>
  <c r="I138" i="9"/>
  <c r="I139" i="9"/>
  <c r="I140" i="9"/>
  <c r="I141" i="9"/>
  <c r="I142" i="9"/>
  <c r="I152" i="9"/>
  <c r="I153" i="9"/>
  <c r="I154" i="9"/>
  <c r="I155" i="9"/>
  <c r="I156" i="9"/>
  <c r="I157" i="9"/>
  <c r="I158" i="9"/>
  <c r="I159" i="9"/>
  <c r="I20" i="9"/>
  <c r="D265" i="9"/>
  <c r="D264" i="9"/>
  <c r="I316" i="9" l="1"/>
  <c r="I317" i="9" s="1"/>
  <c r="E151" i="9" l="1"/>
  <c r="E166" i="9" s="1"/>
  <c r="E181" i="9" s="1"/>
  <c r="G74" i="9"/>
  <c r="G89" i="9" s="1"/>
  <c r="G119" i="9" s="1"/>
  <c r="G134" i="9" s="1"/>
  <c r="G75" i="9"/>
  <c r="G90" i="9" s="1"/>
  <c r="G120" i="9" s="1"/>
  <c r="G135" i="9" s="1"/>
  <c r="G76" i="9"/>
  <c r="G91" i="9" s="1"/>
  <c r="G121" i="9" s="1"/>
  <c r="G136" i="9" s="1"/>
  <c r="G77" i="9"/>
  <c r="G92" i="9" s="1"/>
  <c r="G122" i="9" s="1"/>
  <c r="G137" i="9" s="1"/>
  <c r="G78" i="9"/>
  <c r="G93" i="9" s="1"/>
  <c r="G123" i="9" s="1"/>
  <c r="G138" i="9" s="1"/>
  <c r="G79" i="9"/>
  <c r="G94" i="9" s="1"/>
  <c r="G124" i="9" s="1"/>
  <c r="G139" i="9" s="1"/>
  <c r="G80" i="9"/>
  <c r="G95" i="9" s="1"/>
  <c r="G125" i="9" s="1"/>
  <c r="G140" i="9" s="1"/>
  <c r="G81" i="9"/>
  <c r="G96" i="9" s="1"/>
  <c r="G126" i="9" s="1"/>
  <c r="G141" i="9" s="1"/>
  <c r="G82" i="9"/>
  <c r="G97" i="9" s="1"/>
  <c r="G127" i="9" s="1"/>
  <c r="G142" i="9" s="1"/>
  <c r="F60" i="9"/>
  <c r="F75" i="9" s="1"/>
  <c r="F90" i="9" s="1"/>
  <c r="F120" i="9" s="1"/>
  <c r="F135" i="9" s="1"/>
  <c r="F61" i="9"/>
  <c r="F76" i="9" s="1"/>
  <c r="F91" i="9" s="1"/>
  <c r="F121" i="9" s="1"/>
  <c r="F136" i="9" s="1"/>
  <c r="F62" i="9"/>
  <c r="F77" i="9" s="1"/>
  <c r="F92" i="9" s="1"/>
  <c r="F122" i="9" s="1"/>
  <c r="F137" i="9" s="1"/>
  <c r="F63" i="9"/>
  <c r="F78" i="9" s="1"/>
  <c r="F93" i="9" s="1"/>
  <c r="F123" i="9" s="1"/>
  <c r="F138" i="9" s="1"/>
  <c r="F64" i="9"/>
  <c r="F79" i="9" s="1"/>
  <c r="F94" i="9" s="1"/>
  <c r="F124" i="9" s="1"/>
  <c r="F139" i="9" s="1"/>
  <c r="F65" i="9"/>
  <c r="F80" i="9" s="1"/>
  <c r="F95" i="9" s="1"/>
  <c r="F125" i="9" s="1"/>
  <c r="F140" i="9" s="1"/>
  <c r="F66" i="9"/>
  <c r="F81" i="9" s="1"/>
  <c r="F96" i="9" s="1"/>
  <c r="F126" i="9" s="1"/>
  <c r="F141" i="9" s="1"/>
  <c r="F67" i="9"/>
  <c r="F82" i="9" s="1"/>
  <c r="F97" i="9" s="1"/>
  <c r="F127" i="9" s="1"/>
  <c r="F142" i="9" s="1"/>
  <c r="F59" i="9"/>
  <c r="F74" i="9" s="1"/>
  <c r="F89" i="9" s="1"/>
  <c r="F119" i="9" s="1"/>
  <c r="F134" i="9" s="1"/>
  <c r="I28" i="9"/>
  <c r="I29" i="9"/>
  <c r="I30" i="9"/>
  <c r="I31" i="9"/>
  <c r="I32" i="9"/>
  <c r="I34" i="9"/>
  <c r="I303" i="9" l="1"/>
  <c r="I308" i="9"/>
  <c r="I278" i="9"/>
  <c r="I342" i="9"/>
  <c r="I343" i="9" s="1"/>
  <c r="I336" i="9"/>
  <c r="I337" i="9" s="1"/>
  <c r="I330" i="9"/>
  <c r="I331" i="9" s="1"/>
  <c r="D324" i="9"/>
  <c r="I324" i="9" s="1"/>
  <c r="I325" i="9" s="1"/>
  <c r="I265" i="9" l="1"/>
  <c r="D310" i="9"/>
  <c r="I310" i="9" s="1"/>
  <c r="D309" i="9"/>
  <c r="I309" i="9" s="1"/>
  <c r="D307" i="9"/>
  <c r="I307" i="9" s="1"/>
  <c r="D306" i="9"/>
  <c r="I306" i="9" s="1"/>
  <c r="D305" i="9"/>
  <c r="I305" i="9" s="1"/>
  <c r="D304" i="9"/>
  <c r="I304" i="9" s="1"/>
  <c r="D302" i="9"/>
  <c r="I302" i="9" s="1"/>
  <c r="D288" i="9"/>
  <c r="I288" i="9" s="1"/>
  <c r="D295" i="9"/>
  <c r="I295" i="9" s="1"/>
  <c r="D294" i="9"/>
  <c r="I294" i="9" s="1"/>
  <c r="D293" i="9"/>
  <c r="I293" i="9" s="1"/>
  <c r="D292" i="9"/>
  <c r="I292" i="9" s="1"/>
  <c r="D291" i="9"/>
  <c r="I291" i="9" s="1"/>
  <c r="D290" i="9"/>
  <c r="I290" i="9" s="1"/>
  <c r="D289" i="9"/>
  <c r="I289" i="9" s="1"/>
  <c r="D287" i="9"/>
  <c r="I287" i="9" s="1"/>
  <c r="D280" i="9"/>
  <c r="I280" i="9" s="1"/>
  <c r="D279" i="9"/>
  <c r="I279" i="9" s="1"/>
  <c r="D277" i="9"/>
  <c r="I277" i="9" s="1"/>
  <c r="D276" i="9"/>
  <c r="I276" i="9" s="1"/>
  <c r="D275" i="9"/>
  <c r="I275" i="9" s="1"/>
  <c r="D274" i="9"/>
  <c r="I274" i="9" s="1"/>
  <c r="D258" i="9"/>
  <c r="I258" i="9" s="1"/>
  <c r="D273" i="9"/>
  <c r="I273" i="9" s="1"/>
  <c r="D272" i="9"/>
  <c r="I272" i="9" s="1"/>
  <c r="I264" i="9"/>
  <c r="D263" i="9"/>
  <c r="I263" i="9" s="1"/>
  <c r="D262" i="9"/>
  <c r="I262" i="9" s="1"/>
  <c r="D261" i="9"/>
  <c r="I261" i="9" s="1"/>
  <c r="D260" i="9"/>
  <c r="I260" i="9" s="1"/>
  <c r="D259" i="9"/>
  <c r="I259" i="9" s="1"/>
  <c r="D257" i="9"/>
  <c r="I257" i="9" s="1"/>
  <c r="D256" i="9"/>
  <c r="I256" i="9" s="1"/>
  <c r="I281" i="9" l="1"/>
  <c r="I266" i="9"/>
  <c r="I296" i="9"/>
  <c r="I311" i="9"/>
  <c r="E152" i="9"/>
  <c r="E167" i="9" s="1"/>
  <c r="E182" i="9" s="1"/>
  <c r="E197" i="9" s="1"/>
  <c r="E212" i="9" s="1"/>
  <c r="E45" i="9"/>
  <c r="E60" i="9" s="1"/>
  <c r="E75" i="9" s="1"/>
  <c r="E90" i="9" s="1"/>
  <c r="H60" i="9"/>
  <c r="H61" i="9"/>
  <c r="H62" i="9"/>
  <c r="H63" i="9"/>
  <c r="H64" i="9"/>
  <c r="H65" i="9"/>
  <c r="H66" i="9"/>
  <c r="H67" i="9"/>
  <c r="H59" i="9"/>
  <c r="E159" i="9"/>
  <c r="E174" i="9" s="1"/>
  <c r="E189" i="9" s="1"/>
  <c r="E204" i="9" s="1"/>
  <c r="E219" i="9" s="1"/>
  <c r="E158" i="9"/>
  <c r="E173" i="9" s="1"/>
  <c r="E188" i="9" s="1"/>
  <c r="E203" i="9" s="1"/>
  <c r="E218" i="9" s="1"/>
  <c r="E157" i="9"/>
  <c r="E172" i="9" s="1"/>
  <c r="E187" i="9" s="1"/>
  <c r="E202" i="9" s="1"/>
  <c r="E217" i="9" s="1"/>
  <c r="E156" i="9"/>
  <c r="E171" i="9" s="1"/>
  <c r="E186" i="9" s="1"/>
  <c r="E201" i="9" s="1"/>
  <c r="E216" i="9" s="1"/>
  <c r="E155" i="9"/>
  <c r="E170" i="9" s="1"/>
  <c r="E185" i="9" s="1"/>
  <c r="E200" i="9" s="1"/>
  <c r="E215" i="9" s="1"/>
  <c r="E154" i="9"/>
  <c r="E169" i="9" s="1"/>
  <c r="E184" i="9" s="1"/>
  <c r="E199" i="9" s="1"/>
  <c r="E214" i="9" s="1"/>
  <c r="E153" i="9"/>
  <c r="E168" i="9" s="1"/>
  <c r="E183" i="9" s="1"/>
  <c r="E198" i="9" s="1"/>
  <c r="E213" i="9" s="1"/>
  <c r="E196" i="9"/>
  <c r="E211" i="9" s="1"/>
  <c r="E52" i="9"/>
  <c r="E67" i="9" s="1"/>
  <c r="E82" i="9" s="1"/>
  <c r="E97" i="9" s="1"/>
  <c r="E51" i="9"/>
  <c r="E66" i="9" s="1"/>
  <c r="E81" i="9" s="1"/>
  <c r="E96" i="9" s="1"/>
  <c r="E50" i="9"/>
  <c r="E65" i="9" s="1"/>
  <c r="E80" i="9" s="1"/>
  <c r="E95" i="9" s="1"/>
  <c r="E49" i="9"/>
  <c r="E64" i="9" s="1"/>
  <c r="E79" i="9" s="1"/>
  <c r="E94" i="9" s="1"/>
  <c r="E48" i="9"/>
  <c r="E63" i="9" s="1"/>
  <c r="E78" i="9" s="1"/>
  <c r="E93" i="9" s="1"/>
  <c r="E47" i="9"/>
  <c r="E62" i="9" s="1"/>
  <c r="E77" i="9" s="1"/>
  <c r="E92" i="9" s="1"/>
  <c r="E46" i="9"/>
  <c r="E61" i="9" s="1"/>
  <c r="E76" i="9" s="1"/>
  <c r="E91" i="9" s="1"/>
  <c r="A47" i="9"/>
  <c r="A48" i="9"/>
  <c r="A63" i="9" s="1"/>
  <c r="A49" i="9"/>
  <c r="A50" i="9"/>
  <c r="A65" i="9" s="1"/>
  <c r="A51" i="9"/>
  <c r="A52" i="9"/>
  <c r="A67" i="9" s="1"/>
  <c r="E44" i="9"/>
  <c r="E59" i="9" s="1"/>
  <c r="E74" i="9" s="1"/>
  <c r="E89" i="9" s="1"/>
  <c r="D45" i="9"/>
  <c r="D46" i="9"/>
  <c r="D47" i="9"/>
  <c r="D48" i="9"/>
  <c r="D49" i="9"/>
  <c r="D51" i="9"/>
  <c r="D35" i="9"/>
  <c r="D33" i="9"/>
  <c r="D27" i="9"/>
  <c r="I46" i="9" l="1"/>
  <c r="E123" i="9"/>
  <c r="E138" i="9" s="1"/>
  <c r="E108" i="9"/>
  <c r="D66" i="9"/>
  <c r="I51" i="9"/>
  <c r="E124" i="9"/>
  <c r="E139" i="9" s="1"/>
  <c r="E109" i="9"/>
  <c r="E120" i="9"/>
  <c r="E135" i="9" s="1"/>
  <c r="E105" i="9"/>
  <c r="D63" i="9"/>
  <c r="I63" i="9" s="1"/>
  <c r="I48" i="9"/>
  <c r="E111" i="9"/>
  <c r="E126" i="9"/>
  <c r="E141" i="9" s="1"/>
  <c r="E104" i="9"/>
  <c r="E119" i="9"/>
  <c r="E134" i="9" s="1"/>
  <c r="E110" i="9"/>
  <c r="E125" i="9"/>
  <c r="E140" i="9" s="1"/>
  <c r="E127" i="9"/>
  <c r="E142" i="9" s="1"/>
  <c r="E112" i="9"/>
  <c r="E107" i="9"/>
  <c r="E122" i="9"/>
  <c r="E137" i="9" s="1"/>
  <c r="D64" i="9"/>
  <c r="I64" i="9" s="1"/>
  <c r="I49" i="9"/>
  <c r="D44" i="9"/>
  <c r="I27" i="9"/>
  <c r="I47" i="9"/>
  <c r="D50" i="9"/>
  <c r="I33" i="9"/>
  <c r="D52" i="9"/>
  <c r="I35" i="9"/>
  <c r="D60" i="9"/>
  <c r="I45" i="9"/>
  <c r="E106" i="9"/>
  <c r="E121" i="9"/>
  <c r="E136" i="9" s="1"/>
  <c r="A64" i="9"/>
  <c r="A79" i="9" s="1"/>
  <c r="A94" i="9" s="1"/>
  <c r="A109" i="9" s="1"/>
  <c r="A124" i="9" s="1"/>
  <c r="A139" i="9" s="1"/>
  <c r="A156" i="9" s="1"/>
  <c r="A171" i="9" s="1"/>
  <c r="A186" i="9" s="1"/>
  <c r="A201" i="9" s="1"/>
  <c r="A216" i="9" s="1"/>
  <c r="A261" i="9" s="1"/>
  <c r="A277" i="9" s="1"/>
  <c r="A292" i="9" s="1"/>
  <c r="A307" i="9" s="1"/>
  <c r="D62" i="9"/>
  <c r="A80" i="9"/>
  <c r="A95" i="9" s="1"/>
  <c r="A110" i="9" s="1"/>
  <c r="A125" i="9" s="1"/>
  <c r="A140" i="9" s="1"/>
  <c r="A157" i="9" s="1"/>
  <c r="A172" i="9" s="1"/>
  <c r="A187" i="9" s="1"/>
  <c r="A202" i="9" s="1"/>
  <c r="A217" i="9" s="1"/>
  <c r="A262" i="9" s="1"/>
  <c r="A278" i="9" s="1"/>
  <c r="A293" i="9" s="1"/>
  <c r="A308" i="9" s="1"/>
  <c r="A66" i="9"/>
  <c r="A81" i="9" s="1"/>
  <c r="A96" i="9" s="1"/>
  <c r="A111" i="9" s="1"/>
  <c r="A126" i="9" s="1"/>
  <c r="A141" i="9" s="1"/>
  <c r="A158" i="9" s="1"/>
  <c r="A173" i="9" s="1"/>
  <c r="A188" i="9" s="1"/>
  <c r="A203" i="9" s="1"/>
  <c r="A218" i="9" s="1"/>
  <c r="A263" i="9" s="1"/>
  <c r="A279" i="9" s="1"/>
  <c r="A294" i="9" s="1"/>
  <c r="A309" i="9" s="1"/>
  <c r="D61" i="9"/>
  <c r="I61" i="9" s="1"/>
  <c r="A62" i="9"/>
  <c r="A77" i="9" s="1"/>
  <c r="A92" i="9" s="1"/>
  <c r="A107" i="9" s="1"/>
  <c r="A122" i="9" s="1"/>
  <c r="A137" i="9" s="1"/>
  <c r="A154" i="9" s="1"/>
  <c r="A169" i="9" s="1"/>
  <c r="A184" i="9" s="1"/>
  <c r="A199" i="9" s="1"/>
  <c r="A214" i="9" s="1"/>
  <c r="A259" i="9" s="1"/>
  <c r="A275" i="9" s="1"/>
  <c r="A290" i="9" s="1"/>
  <c r="A305" i="9" s="1"/>
  <c r="A82" i="9"/>
  <c r="A97" i="9" s="1"/>
  <c r="A112" i="9" s="1"/>
  <c r="A127" i="9" s="1"/>
  <c r="A142" i="9" s="1"/>
  <c r="A159" i="9" s="1"/>
  <c r="A174" i="9" s="1"/>
  <c r="A189" i="9" s="1"/>
  <c r="A204" i="9" s="1"/>
  <c r="A219" i="9" s="1"/>
  <c r="A264" i="9" s="1"/>
  <c r="A280" i="9" s="1"/>
  <c r="A295" i="9" s="1"/>
  <c r="A310" i="9" s="1"/>
  <c r="A78" i="9"/>
  <c r="A93" i="9" s="1"/>
  <c r="A108" i="9" s="1"/>
  <c r="A123" i="9" s="1"/>
  <c r="A138" i="9" s="1"/>
  <c r="A155" i="9" s="1"/>
  <c r="A170" i="9" s="1"/>
  <c r="A185" i="9" s="1"/>
  <c r="A200" i="9" s="1"/>
  <c r="A215" i="9" s="1"/>
  <c r="A260" i="9" s="1"/>
  <c r="A276" i="9" s="1"/>
  <c r="A291" i="9" s="1"/>
  <c r="A306" i="9" s="1"/>
  <c r="D78" i="9"/>
  <c r="I36" i="9" l="1"/>
  <c r="D76" i="9"/>
  <c r="D79" i="9"/>
  <c r="D67" i="9"/>
  <c r="I52" i="9"/>
  <c r="D65" i="9"/>
  <c r="I50" i="9"/>
  <c r="D93" i="9"/>
  <c r="I78" i="9"/>
  <c r="D59" i="9"/>
  <c r="I59" i="9" s="1"/>
  <c r="I44" i="9"/>
  <c r="I66" i="9"/>
  <c r="I62" i="9"/>
  <c r="I60" i="9"/>
  <c r="M36" i="9"/>
  <c r="I53" i="9" l="1"/>
  <c r="I65" i="9"/>
  <c r="D80" i="9"/>
  <c r="D123" i="9"/>
  <c r="D108" i="9"/>
  <c r="D82" i="9"/>
  <c r="I67" i="9"/>
  <c r="D94" i="9"/>
  <c r="I79" i="9"/>
  <c r="I76" i="9"/>
  <c r="D91" i="9"/>
  <c r="I93" i="9"/>
  <c r="D81" i="9"/>
  <c r="D74" i="9"/>
  <c r="I74" i="9" s="1"/>
  <c r="D75" i="9"/>
  <c r="D77" i="9"/>
  <c r="I68" i="9" l="1"/>
  <c r="I82" i="9"/>
  <c r="D97" i="9"/>
  <c r="D92" i="9"/>
  <c r="I77" i="9"/>
  <c r="D106" i="9"/>
  <c r="D121" i="9"/>
  <c r="D95" i="9"/>
  <c r="I80" i="9"/>
  <c r="I75" i="9"/>
  <c r="D90" i="9"/>
  <c r="I123" i="9"/>
  <c r="D138" i="9"/>
  <c r="I81" i="9"/>
  <c r="D96" i="9"/>
  <c r="I91" i="9"/>
  <c r="D109" i="9"/>
  <c r="I109" i="9" s="1"/>
  <c r="D124" i="9"/>
  <c r="I94" i="9"/>
  <c r="I106" i="9"/>
  <c r="I108" i="9"/>
  <c r="D89" i="9"/>
  <c r="D111" i="9" l="1"/>
  <c r="D126" i="9"/>
  <c r="D125" i="9"/>
  <c r="D110" i="9"/>
  <c r="I110" i="9" s="1"/>
  <c r="I95" i="9"/>
  <c r="D136" i="9"/>
  <c r="I121" i="9"/>
  <c r="I124" i="9"/>
  <c r="D139" i="9"/>
  <c r="D107" i="9"/>
  <c r="D122" i="9"/>
  <c r="D104" i="9"/>
  <c r="I104" i="9" s="1"/>
  <c r="I89" i="9"/>
  <c r="D119" i="9"/>
  <c r="D134" i="9" s="1"/>
  <c r="D120" i="9"/>
  <c r="D105" i="9"/>
  <c r="D127" i="9"/>
  <c r="D112" i="9"/>
  <c r="I112" i="9" s="1"/>
  <c r="I97" i="9"/>
  <c r="I83" i="9"/>
  <c r="I92" i="9"/>
  <c r="I90" i="9"/>
  <c r="I96" i="9"/>
  <c r="D156" i="9" l="1"/>
  <c r="I98" i="9"/>
  <c r="D137" i="9"/>
  <c r="I122" i="9"/>
  <c r="D135" i="9"/>
  <c r="I120" i="9"/>
  <c r="D142" i="9"/>
  <c r="I127" i="9"/>
  <c r="D140" i="9"/>
  <c r="I125" i="9"/>
  <c r="I126" i="9"/>
  <c r="D141" i="9"/>
  <c r="D171" i="9"/>
  <c r="D155" i="9"/>
  <c r="D153" i="9"/>
  <c r="I111" i="9"/>
  <c r="I105" i="9"/>
  <c r="I107" i="9"/>
  <c r="D159" i="9" l="1"/>
  <c r="D157" i="9"/>
  <c r="D186" i="9"/>
  <c r="D174" i="9"/>
  <c r="D168" i="9"/>
  <c r="D170" i="9"/>
  <c r="I113" i="9"/>
  <c r="I119" i="9"/>
  <c r="D172" i="9" l="1"/>
  <c r="D201" i="9"/>
  <c r="I201" i="9" s="1"/>
  <c r="D183" i="9"/>
  <c r="D185" i="9"/>
  <c r="D187" i="9"/>
  <c r="D189" i="9"/>
  <c r="D152" i="9"/>
  <c r="D154" i="9"/>
  <c r="I134" i="9"/>
  <c r="I143" i="9" s="1"/>
  <c r="D151" i="9"/>
  <c r="D158" i="9"/>
  <c r="I128" i="9"/>
  <c r="D216" i="9" l="1"/>
  <c r="D202" i="9"/>
  <c r="I202" i="9" s="1"/>
  <c r="D198" i="9"/>
  <c r="I198" i="9" s="1"/>
  <c r="D204" i="9"/>
  <c r="I204" i="9" s="1"/>
  <c r="D200" i="9"/>
  <c r="I200" i="9" s="1"/>
  <c r="I151" i="9"/>
  <c r="I160" i="9" s="1"/>
  <c r="D166" i="9"/>
  <c r="I166" i="9" s="1"/>
  <c r="D167" i="9"/>
  <c r="D173" i="9"/>
  <c r="D169" i="9"/>
  <c r="I175" i="9" l="1"/>
  <c r="D217" i="9"/>
  <c r="D219" i="9"/>
  <c r="D215" i="9"/>
  <c r="D213" i="9"/>
  <c r="D188" i="9"/>
  <c r="D181" i="9"/>
  <c r="I181" i="9" s="1"/>
  <c r="D184" i="9"/>
  <c r="D182" i="9"/>
  <c r="I190" i="9" l="1"/>
  <c r="D199" i="9"/>
  <c r="I199" i="9" s="1"/>
  <c r="D203" i="9"/>
  <c r="I203" i="9" s="1"/>
  <c r="D197" i="9"/>
  <c r="I197" i="9" s="1"/>
  <c r="D196" i="9"/>
  <c r="I196" i="9" s="1"/>
  <c r="I205" i="9" l="1"/>
  <c r="D218" i="9"/>
  <c r="D211" i="9"/>
  <c r="I211" i="9" s="1"/>
  <c r="D212" i="9"/>
  <c r="D214" i="9"/>
  <c r="I220" i="9" l="1"/>
  <c r="D226" i="9" l="1"/>
  <c r="D247" i="9"/>
  <c r="I247" i="9" s="1"/>
  <c r="M311" i="9"/>
  <c r="I13" i="9"/>
  <c r="I14" i="9" s="1"/>
  <c r="M14" i="9" s="1"/>
  <c r="A45" i="9"/>
  <c r="A46" i="9"/>
  <c r="A44" i="9"/>
  <c r="A61" i="9" l="1"/>
  <c r="A76" i="9" s="1"/>
  <c r="A91" i="9" s="1"/>
  <c r="A106" i="9" s="1"/>
  <c r="A121" i="9" s="1"/>
  <c r="A136" i="9" s="1"/>
  <c r="A153" i="9" s="1"/>
  <c r="A168" i="9" s="1"/>
  <c r="A183" i="9" s="1"/>
  <c r="A198" i="9" s="1"/>
  <c r="A213" i="9" s="1"/>
  <c r="A258" i="9" s="1"/>
  <c r="A274" i="9" s="1"/>
  <c r="A289" i="9" s="1"/>
  <c r="A304" i="9" s="1"/>
  <c r="A60" i="9"/>
  <c r="A75" i="9" s="1"/>
  <c r="A90" i="9" s="1"/>
  <c r="A105" i="9" s="1"/>
  <c r="A120" i="9" s="1"/>
  <c r="A135" i="9" s="1"/>
  <c r="A152" i="9" s="1"/>
  <c r="A167" i="9" s="1"/>
  <c r="A182" i="9" s="1"/>
  <c r="A197" i="9" s="1"/>
  <c r="A212" i="9" s="1"/>
  <c r="A257" i="9" s="1"/>
  <c r="A273" i="9" s="1"/>
  <c r="A288" i="9" s="1"/>
  <c r="A303" i="9" s="1"/>
  <c r="A59" i="9"/>
  <c r="A74" i="9" s="1"/>
  <c r="A89" i="9" s="1"/>
  <c r="A104" i="9" s="1"/>
  <c r="A119" i="9" s="1"/>
  <c r="A134" i="9" s="1"/>
  <c r="A151" i="9" s="1"/>
  <c r="A166" i="9" s="1"/>
  <c r="A181" i="9" s="1"/>
  <c r="A196" i="9" s="1"/>
  <c r="A211" i="9" s="1"/>
  <c r="A256" i="9" s="1"/>
  <c r="A272" i="9" s="1"/>
  <c r="A287" i="9" s="1"/>
  <c r="A302" i="9" s="1"/>
  <c r="M281" i="9"/>
  <c r="M296" i="9"/>
  <c r="M266" i="9"/>
  <c r="M113" i="9" l="1"/>
  <c r="M53" i="9"/>
  <c r="M68" i="9" l="1"/>
  <c r="M128" i="9" l="1"/>
  <c r="M98" i="9"/>
  <c r="M143" i="9"/>
  <c r="M83" i="9" l="1"/>
  <c r="M160" i="9" l="1"/>
  <c r="M175" i="9"/>
  <c r="M205" i="9" l="1"/>
  <c r="M190" i="9"/>
  <c r="I226" i="9" l="1"/>
  <c r="M220" i="9" l="1"/>
  <c r="D233" i="9"/>
  <c r="I233" i="9" s="1"/>
  <c r="I227" i="9"/>
  <c r="M227" i="9" s="1"/>
  <c r="D240" i="9" l="1"/>
  <c r="I234" i="9"/>
  <c r="M234" i="9" s="1"/>
  <c r="I240" i="9" l="1"/>
  <c r="I241" i="9" s="1"/>
  <c r="I248" i="9"/>
  <c r="M318" i="9"/>
  <c r="N12" i="9" s="1"/>
  <c r="L21" i="9" l="1"/>
  <c r="N21" i="9" s="1"/>
  <c r="I21" i="9"/>
  <c r="O12" i="9" l="1"/>
</calcChain>
</file>

<file path=xl/sharedStrings.xml><?xml version="1.0" encoding="utf-8"?>
<sst xmlns="http://schemas.openxmlformats.org/spreadsheetml/2006/main" count="406" uniqueCount="149">
  <si>
    <t>MEMORIA DE CÁLCULO</t>
  </si>
  <si>
    <t>OBJETO:</t>
  </si>
  <si>
    <t>LOCAL:</t>
  </si>
  <si>
    <t>DESCRIÇÃO:</t>
  </si>
  <si>
    <t>CÓDIGO:</t>
  </si>
  <si>
    <t>LOGRADOURO</t>
  </si>
  <si>
    <t>OBS:</t>
  </si>
  <si>
    <t>TOTAL</t>
  </si>
  <si>
    <t>LOCAÇÃO DE PAVIMENTAÇÃO. AF_10/2018</t>
  </si>
  <si>
    <t>Comp (m)</t>
  </si>
  <si>
    <t>Repet.</t>
  </si>
  <si>
    <t>Espessura (m)</t>
  </si>
  <si>
    <t>Volume Total (m³)</t>
  </si>
  <si>
    <t>Comprimento Total (m)</t>
  </si>
  <si>
    <t>EXECUÇÃO DE SARJETA DE CONCRETO USINADO, MOLDADA IN LOCO EM TRECHO RETO, 30 CM BASE X 10 CM ALTURA. AF_06/2016</t>
  </si>
  <si>
    <t>1.1 SERVIÇOS PRELIMINARES</t>
  </si>
  <si>
    <t>Larg. c/ sarj. e mf (m)</t>
  </si>
  <si>
    <t>Larg. s/ sarj. e mf (m)</t>
  </si>
  <si>
    <t>Unidade</t>
  </si>
  <si>
    <t>Unidade (UND)</t>
  </si>
  <si>
    <t>BOTA FORA</t>
  </si>
  <si>
    <t>JAZIDA</t>
  </si>
  <si>
    <t>DMT (Km)</t>
  </si>
  <si>
    <t>Transporte (M3XKM)</t>
  </si>
  <si>
    <t>Área Total (m2)</t>
  </si>
  <si>
    <t>Volume Total (m3)</t>
  </si>
  <si>
    <t>EXECUÇÃO DE SARJETA DE CONCRETO USINADO, MOLDADA IN LOCO EM TRECHO CURVO, 30 CM BASE X 10 CM ALTURA. AF_06/2016</t>
  </si>
  <si>
    <t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t>
  </si>
  <si>
    <t>ASSENTAMENTO DE GUIA (MEIO-FIO) EM TRECHO CURVO, CONFECCIONADA EM CONCRETO PRÉ-FABRICADO, DIMENSÕES 100X15X13X30 CM (COMPRIMENTO X BASE INFERIOR X BASE SUPERIOR X ALTURA), PARA VIAS URBANAS (USO VIÁRIO). AF_06/2016</t>
  </si>
  <si>
    <t>ASSENTAMENTO DE GUIA (MEIO-FIO) EM TRECHO RETO, CONFECCIONADA EM CONCRETO PRÉ-FABRICADO, DIMENSÕES 100X15X13X30 CM (COMPRIMENTO X BASE INFERIOR X BASE SUPERIOR X ALTURA), PARA VIAS URBANAS (USO VIÁRIO). AF_06/2016</t>
  </si>
  <si>
    <t>IMPRIMAÇÃO (EXECUÇÃO E FORNECIMENTO DO MATERIAL BETUMINOSO, EXCLUSIVE TRANSPORTE DO MATERIAL BETUMINOSO)</t>
  </si>
  <si>
    <t>CM- 30 (T/m²)</t>
  </si>
  <si>
    <t>DMT(Km)</t>
  </si>
  <si>
    <t>Pintura de ligação (Execução e fornecimento do material betuminoso, exclusive transporte do material betuminoso)</t>
  </si>
  <si>
    <t>RR-2C (T/m²)</t>
  </si>
  <si>
    <t>Volume (m³)</t>
  </si>
  <si>
    <t>Transporte (Txkm)</t>
  </si>
  <si>
    <t>Área total (m²)</t>
  </si>
  <si>
    <t>PREÇO</t>
  </si>
  <si>
    <t>VALOR</t>
  </si>
  <si>
    <t>Vol. Total (m3)</t>
  </si>
  <si>
    <t>Coeficiente (m3/m3)</t>
  </si>
  <si>
    <r>
      <t>TRANSPORTE COM CAMINHÃO BASCULANTE DE 14 M³, EM VIA URBANA PAVIMENTADA, DMT ATÉ 30 KM (UNIDADE: M3XKM). AF_07/2020</t>
    </r>
    <r>
      <rPr>
        <sz val="9"/>
        <color rgb="FFFF0000"/>
        <rFont val="Times New Roman"/>
        <family val="1"/>
      </rPr>
      <t xml:space="preserve"> (BRITA)</t>
    </r>
  </si>
  <si>
    <r>
      <t>TRANSPORTE COM CAMINHÃO BASCULANTE DE 14 M³, EM VIA URBANA PAVIMENTADA, DMT ATÉ 30 KM (UNIDADE: M3XKM). AF_07/2020</t>
    </r>
    <r>
      <rPr>
        <sz val="9"/>
        <color rgb="FFFF0000"/>
        <rFont val="Times New Roman"/>
        <family val="1"/>
      </rPr>
      <t xml:space="preserve"> (AREIA)</t>
    </r>
  </si>
  <si>
    <r>
      <t xml:space="preserve">TRANSPORTE DE PRÉ-MISTURADO A FRIO. DISTÂNCIA MÉDIA DE TRANSPORTE &gt; 50,00 KM (DENSIDADE DE MATERIAL SOLTO) </t>
    </r>
    <r>
      <rPr>
        <sz val="9"/>
        <color rgb="FFFF0000"/>
        <rFont val="Times New Roman"/>
        <family val="1"/>
      </rPr>
      <t>(PMF)</t>
    </r>
  </si>
  <si>
    <t>PAVIMENTAÇÃO EM PMF, EM DIVERSAS RUAS NO DISTRITO DE BOA SORTE, MUNICIPIO DE CLARO DOS POÇÕES - MG</t>
  </si>
  <si>
    <t xml:space="preserve">DISTRITO DE BOA SORTE - CLARO DOS POÇÕES MG </t>
  </si>
  <si>
    <t>1 - PAVIMENTAÇÃO EM PMF, EM DIVERSAS RUAS NO DISTRITO DE BOA SORTE, MUNICIPIO DE CLARO DOS POÇÕES - MG</t>
  </si>
  <si>
    <t>RUA BRUNO AVELINO</t>
  </si>
  <si>
    <t>91,35+37,44+59,89+18,63+36,32</t>
  </si>
  <si>
    <t>AVENIDA JOSE DUARTE</t>
  </si>
  <si>
    <t>RUA A</t>
  </si>
  <si>
    <t>AVENIDA MONTES CLAROS</t>
  </si>
  <si>
    <t>RUA PEDRO DUARTE</t>
  </si>
  <si>
    <t>4,91+13,55</t>
  </si>
  <si>
    <t xml:space="preserve">RUA B </t>
  </si>
  <si>
    <t>RUA EUGENIO DOS SANTOS</t>
  </si>
  <si>
    <t>36,14+44,56+23,75</t>
  </si>
  <si>
    <t>VIA E JAZIDA</t>
  </si>
  <si>
    <t xml:space="preserve">RUA JUSTINO DUARTE TRECHO </t>
  </si>
  <si>
    <t xml:space="preserve">RUA E </t>
  </si>
  <si>
    <t>Esp. (m)</t>
  </si>
  <si>
    <t>MAX HENRIQUE VELOSO DA SILVA</t>
  </si>
  <si>
    <t>ENGENHEIRO CIVIL - CREA/MG 248.998/D</t>
  </si>
  <si>
    <t>NORBERTO MARCELINO DE OLIVEIRA NETO</t>
  </si>
  <si>
    <t>89,77+29,96+50,28+17,74+36,28+36,32+18,63+52,05+36,81+89,61</t>
  </si>
  <si>
    <t>54,73+51,88+52,98+52,98</t>
  </si>
  <si>
    <t>109,70+109,70</t>
  </si>
  <si>
    <t>60,75+57,14+4,91+2,15</t>
  </si>
  <si>
    <t>17,32+17,78</t>
  </si>
  <si>
    <t>5,05+14,69+4,91+13,55</t>
  </si>
  <si>
    <t>26,70+64,45+103,61</t>
  </si>
  <si>
    <t>35,03+14,03+30,90+23,82+8,29+51,19+34,45</t>
  </si>
  <si>
    <t>Compr. (m)</t>
  </si>
  <si>
    <t>5,70+2,15+1,24+1,32+1,80+3,40</t>
  </si>
  <si>
    <t>1,94+1,82+1,34</t>
  </si>
  <si>
    <t>131,14+62,30+61,92+2,06</t>
  </si>
  <si>
    <t>1,25+1,99+1,52+1,62+1,61+3,05</t>
  </si>
  <si>
    <t>2,37+2,40</t>
  </si>
  <si>
    <t>2,24+1,81</t>
  </si>
  <si>
    <t>1,58+1,55</t>
  </si>
  <si>
    <t>1,63+1,58</t>
  </si>
  <si>
    <t>1,52+1,62</t>
  </si>
  <si>
    <t>54,73+51,88</t>
  </si>
  <si>
    <t>CORDÃO DE TRAVAMENTO</t>
  </si>
  <si>
    <t>1.4 SINALIZAÇÃO</t>
  </si>
  <si>
    <t xml:space="preserve">DESCRIÇÃO: </t>
  </si>
  <si>
    <t>PINTURA DE FAIXA DE PEDESTRE OU ZEBRADA TINTA RETRORREFLETIVA A BASE DE RESINA ACRÍLICA COM MICROESFERAS DE VIDRO, E = 30 CM, APLICAÇÃO MANUAL. AF_05/2021</t>
  </si>
  <si>
    <t>LOCALIZAÇÃO</t>
  </si>
  <si>
    <t>DESCRIÇÃO</t>
  </si>
  <si>
    <t>Área (m²)</t>
  </si>
  <si>
    <t>Área Total (m²)</t>
  </si>
  <si>
    <t>Placa de aço carbono com película refletiva grau técnico tipo I da ABNT - Placa Octogonal (Execução, incluindo fornecimento e transporte de todos os materiais, inclusive poste de sustentação)</t>
  </si>
  <si>
    <t>Largura (m)</t>
  </si>
  <si>
    <t>PARADA OBRIGATORIA</t>
  </si>
  <si>
    <t>Placa de aço carbono com película refletiva grau técnico tipo I da ABNT - Placa Quadrada (Execução, incluindo fornecimento e transporte de todos os materiais, inclusive poste de sustentação)</t>
  </si>
  <si>
    <t>TRAVESSIA DE PEDESTRES</t>
  </si>
  <si>
    <t>INDICAÇÃO DE RUAS</t>
  </si>
  <si>
    <t>PINTURA DE FAIXA PEDESTRE</t>
  </si>
  <si>
    <t>PMF</t>
  </si>
  <si>
    <t>AREIA</t>
  </si>
  <si>
    <t>BRITA</t>
  </si>
  <si>
    <t>PREFEITO MUNICIPAL DE CLARO DOS POÇÕES-MG</t>
  </si>
  <si>
    <t>Placa de aço carbono com película refletiva grau técnico tipo I da ABNT - Placa Retangular (Execução, incluindo fornecimento e transporte de todos os materiais, inclusive poste de sustentação)</t>
  </si>
  <si>
    <r>
      <t xml:space="preserve">ESCAVAÇÃO HORIZONTAL, INCLUINDO CARGA E DESCARGA EM SOLO DE 1A CATEGORIA COM TRATOR DE ESTEIRAS (170HP/LÂMINA: 5,20M3). AF_07/2020 </t>
    </r>
    <r>
      <rPr>
        <sz val="9"/>
        <color rgb="FFFF0000"/>
        <rFont val="Times New Roman"/>
        <family val="1"/>
      </rPr>
      <t>( RESPONSABILIDADE DA PREFEITURA MUNICIPAL )</t>
    </r>
  </si>
  <si>
    <r>
      <t xml:space="preserve">TRANSPORTE COM CAMINHÃO BASCULANTE DE 10 M³, EM VIA URBANA EM REVESTIMENTO PRIMÁRIO (UNIDADE: M3XKM). AF_07/2020 </t>
    </r>
    <r>
      <rPr>
        <sz val="9"/>
        <color rgb="FFFF0000"/>
        <rFont val="Times New Roman"/>
        <family val="1"/>
      </rPr>
      <t>(BOTA-FORA) - ( RESPONSABILIDADE DA PREFEITURA MUNICIPAL )</t>
    </r>
  </si>
  <si>
    <r>
      <t xml:space="preserve">ESPALHAMENTO DE MATERIAL COM TRATOR DE ESTEIRAS. AF_11/2019 </t>
    </r>
    <r>
      <rPr>
        <sz val="9"/>
        <color rgb="FFFF0000"/>
        <rFont val="Times New Roman"/>
        <family val="1"/>
      </rPr>
      <t>( RESPONSABILIDADE DA PREFEITURA MUNICIPAL )</t>
    </r>
  </si>
  <si>
    <r>
      <t xml:space="preserve">REGULARIZAÇÃO E COMPACTAÇÃO DE SUBLEITO DE SOLO PREDOMINANTEMENTE ARGILOSO. AF_11/2019 </t>
    </r>
    <r>
      <rPr>
        <sz val="9"/>
        <color rgb="FFFF0000"/>
        <rFont val="Times New Roman"/>
        <family val="1"/>
      </rPr>
      <t>( RESPONSABILIDADE DA PREFEITURA MUNICIPAL )</t>
    </r>
  </si>
  <si>
    <r>
      <t>EXECUÇÃO E COMPACTAÇÃO DE BASE E OU SUB BASE PARA PAVIMENTAÇÃO DE SOLO ESTABILIZADO GRANULOMETRICAMENTE SEM MISTURA DE SOLOS - EXCLUSIVE SOLO, ESCAVAÇÃO, CARGA E TRANSPORTE. AF_11/2019</t>
    </r>
    <r>
      <rPr>
        <sz val="9"/>
        <color rgb="FFFF0000"/>
        <rFont val="Times New Roman"/>
        <family val="1"/>
      </rPr>
      <t xml:space="preserve"> ( RESPONSABILIDADE DA PREFEITURA MUNICIPAL )</t>
    </r>
  </si>
  <si>
    <r>
      <t xml:space="preserve">CASCALHO DE CAVA </t>
    </r>
    <r>
      <rPr>
        <sz val="9"/>
        <color rgb="FFFF0000"/>
        <rFont val="Times New Roman"/>
        <family val="1"/>
      </rPr>
      <t>( RESPONSABILIDADE DA PREFEITURA MUNICIPAL )</t>
    </r>
  </si>
  <si>
    <t>1.1.1</t>
  </si>
  <si>
    <t>1.1.2</t>
  </si>
  <si>
    <t>1.1.3</t>
  </si>
  <si>
    <t>1.2 PAVIMENTAÇÃO ASFALTICA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</si>
  <si>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</si>
  <si>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</si>
  <si>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</si>
  <si>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</si>
  <si>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</si>
  <si>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</si>
  <si>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</si>
  <si>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</si>
  <si>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</si>
  <si>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1.3 MEIO-FIO E SARJETA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</si>
  <si>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</si>
  <si>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</si>
  <si>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</si>
  <si>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</si>
  <si>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</si>
  <si>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</si>
  <si>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</si>
  <si>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</si>
  <si>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TRAVESSIA CANTEIRO CENTRAL</t>
  </si>
  <si>
    <t>Compr (m)</t>
  </si>
  <si>
    <t>EXECUÇÃO DE PASSEIO (CALÇADA) OU PISO DE CONCRETO COM CONCRETO MOLDADO IN LOCO, FEITO EM OBRA, ACABAMENTO CONVENCIONAL, NÃO ARMADO. AF_08/2022</t>
  </si>
  <si>
    <t>1.3.5</t>
  </si>
  <si>
    <t>5,70+6,60+8,73+6,74+10,53+6,66+7,66+9,18</t>
  </si>
  <si>
    <r>
      <t xml:space="preserve">Transporte de material de jazida para conservação. Distância média de transporte de 10,10 a 15,00 km - </t>
    </r>
    <r>
      <rPr>
        <sz val="9"/>
        <color rgb="FFFF0000"/>
        <rFont val="Times New Roman"/>
        <family val="1"/>
      </rPr>
      <t>( RESPONSABILIDADE DA PREFEITURA MUNICIPAL )</t>
    </r>
  </si>
  <si>
    <t>Coeficiente (T/m3)</t>
  </si>
  <si>
    <t>Transporte (TXKM)</t>
  </si>
  <si>
    <t>RL-1C</t>
  </si>
  <si>
    <t>Mês</t>
  </si>
  <si>
    <t xml:space="preserve">Total de Meses </t>
  </si>
  <si>
    <t>PRÉ-MISTURADO A FRIO - PMF (EXECUÇÃO, INCLUINDO USINAGEM, APLICAÇÃO, ESPALHAMENTO E COMPACTAÇÃO, FORNECIMENTO DOS AGREGADOS E MATERIAL BETUMINOSO, EXCLUI TRANSPORTE DOS AGREGADOS E DO MATERIAL BETUMINOSO ATÉ USINA E DA MASSA PRONTA ATÉ A PISTA)</t>
  </si>
  <si>
    <r>
      <t>TRANSPORTE COM CAMINHÃO TANQUE DE TRANSPORTE DE MATERIAL ASFÁLTICO DE 30000 L, EM VIA URBANA EM REVESTIMENTO PRIMÁRIO (UNIDADE: TXKM). AF_07/2020 (</t>
    </r>
    <r>
      <rPr>
        <sz val="9"/>
        <color rgb="FFFF0000"/>
        <rFont val="Times New Roman"/>
        <family val="1"/>
      </rPr>
      <t>TRANSPORTE DO RR-2C)</t>
    </r>
  </si>
  <si>
    <t>MOBILIZAÇÃO, DESMOBILIZAÇÃO, CANTEIRO E ADMINISTRAÇÃO LOCAL</t>
  </si>
  <si>
    <r>
      <t xml:space="preserve"> TERRAPLANAGEM </t>
    </r>
    <r>
      <rPr>
        <b/>
        <sz val="9"/>
        <color theme="0"/>
        <rFont val="Times New Roman"/>
        <family val="1"/>
      </rPr>
      <t>(SOB RESPONSABILIDADE DA PREFEITURA MUNICIPAL DE CLARO DOS POÇÕES)</t>
    </r>
  </si>
  <si>
    <r>
      <t xml:space="preserve">TRANSPORTE COM CAMINHÃO TANQUE DE TRANSPORTE DE MATERIAL ASFÁLTICO DE 20000 L, EM VIA URBANA EM REVESTIMENTO PRIMÁRIO (UNIDADE: TXKM). AF_07/2020 </t>
    </r>
    <r>
      <rPr>
        <sz val="9"/>
        <color rgb="FFFF0000"/>
        <rFont val="Times New Roman"/>
        <family val="1"/>
      </rPr>
      <t>(TRANSPORTE DO CM-30)</t>
    </r>
  </si>
  <si>
    <r>
      <t>TRANSPORTE COM CAMINHÃO TANQUE DE TRANSPORTE DE MATERIAL ASFÁLTICO DE 30000 L, EM VIA URBANA PAVIMENTADA, ADICIONAL PARA DMT EXCEDENTE A 30 KM (UNIDADE: TXKM). AF_07/2020</t>
    </r>
    <r>
      <rPr>
        <sz val="9"/>
        <color rgb="FFFF0000"/>
        <rFont val="Times New Roman"/>
        <family val="1"/>
      </rPr>
      <t xml:space="preserve"> (TRANSPORTE DO RL-1C)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</si>
</sst>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Times New Roman"/>
      <family val="1"/>
    </font>
    <font>
      <b/>
      <sz val="9"/>
      <color rgb="FF000000"/>
      <name val="Times New Roman"/>
      <family val="1"/>
    </font>
    <font>
      <sz val="9"/>
      <name val="Arial"/>
      <family val="2"/>
    </font>
    <font>
      <sz val="9"/>
      <name val="Calibri"/>
      <family val="2"/>
      <scheme val="minor"/>
    </font>
    <font>
      <sz val="7"/>
      <color rgb="FF212529"/>
      <name val="Segoe UI"/>
      <family val="2"/>
    </font>
    <font>
      <b/>
      <sz val="9"/>
      <color theme="1"/>
      <name val="Times New Roman"/>
      <family val="1"/>
    </font>
    <font>
      <b/>
      <sz val="1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/>
    <xf numFmtId="0" fontId="1" fillId="0" borderId="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/>
    <xf numFmtId="0" fontId="1" fillId="0" borderId="0" xfId="0" applyFont="1"/>
    <xf numFmtId="0" fontId="1" fillId="0" borderId="27" xfId="0" applyFont="1" applyBorder="1"/>
    <xf numFmtId="0" fontId="2" fillId="0" borderId="18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3" fillId="0" borderId="0" xfId="0" applyFont="1"/>
    <xf numFmtId="4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0" xfId="0" applyFont="1"/>
    <xf numFmtId="4" fontId="1" fillId="0" borderId="0" xfId="0" applyNumberFormat="1" applyFont="1"/>
    <xf numFmtId="4" fontId="15" fillId="0" borderId="1" xfId="0" applyNumberFormat="1" applyFont="1" applyBorder="1"/>
    <xf numFmtId="4" fontId="3" fillId="0" borderId="0" xfId="0" applyNumberFormat="1" applyFont="1"/>
    <xf numFmtId="4" fontId="2" fillId="3" borderId="0" xfId="0" applyNumberFormat="1" applyFont="1" applyFill="1" applyAlignment="1">
      <alignment horizontal="center"/>
    </xf>
    <xf numFmtId="4" fontId="14" fillId="0" borderId="0" xfId="0" applyNumberFormat="1" applyFont="1"/>
    <xf numFmtId="165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4" borderId="9" xfId="0" applyFont="1" applyFill="1" applyBorder="1"/>
    <xf numFmtId="0" fontId="2" fillId="4" borderId="16" xfId="0" applyFont="1" applyFill="1" applyBorder="1"/>
    <xf numFmtId="0" fontId="2" fillId="4" borderId="2" xfId="0" applyFont="1" applyFill="1" applyBorder="1"/>
    <xf numFmtId="0" fontId="3" fillId="4" borderId="2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7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shrinkToFit="1"/>
    </xf>
    <xf numFmtId="0" fontId="2" fillId="0" borderId="28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28" xfId="0" applyFont="1" applyBorder="1"/>
    <xf numFmtId="0" fontId="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2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5" borderId="16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381879</xdr:colOff>
      <xdr:row>1</xdr:row>
      <xdr:rowOff>598994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353429" cy="713294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0</xdr:row>
      <xdr:rowOff>76200</xdr:rowOff>
    </xdr:from>
    <xdr:to>
      <xdr:col>9</xdr:col>
      <xdr:colOff>845180</xdr:colOff>
      <xdr:row>1</xdr:row>
      <xdr:rowOff>600075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76200"/>
          <a:ext cx="138810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357"/>
  <sheetViews>
    <sheetView showGridLines="0" tabSelected="1" showWhiteSpace="0" view="pageBreakPreview" topLeftCell="A232" zoomScaleNormal="100" zoomScaleSheetLayoutView="100" zoomScalePageLayoutView="55" workbookViewId="0">
      <selection activeCell="I240" sqref="I240"/>
    </sheetView>
  </sheetViews>
  <sheetFormatPr defaultColWidth="9.140625" defaultRowHeight="12" x14ac:dyDescent="0.2"/>
  <cols>
    <col min="1" max="2" width="15.7109375" style="28" customWidth="1"/>
    <col min="3" max="3" width="30.7109375" style="28" customWidth="1"/>
    <col min="4" max="4" width="15.7109375" style="28" customWidth="1"/>
    <col min="5" max="5" width="16.7109375" style="28" customWidth="1"/>
    <col min="6" max="8" width="15.7109375" style="28" customWidth="1"/>
    <col min="9" max="9" width="18.7109375" style="28" customWidth="1"/>
    <col min="10" max="10" width="15.7109375" style="28" customWidth="1"/>
    <col min="11" max="12" width="9.140625" style="28"/>
    <col min="13" max="13" width="14.85546875" style="28" customWidth="1"/>
    <col min="14" max="14" width="9.28515625" style="28" bestFit="1" customWidth="1"/>
    <col min="15" max="16384" width="9.140625" style="28"/>
  </cols>
  <sheetData>
    <row r="1" spans="1:85" s="12" customFormat="1" ht="11.25" customHeight="1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85" s="12" customFormat="1" ht="49.5" customHeight="1" x14ac:dyDescent="0.2">
      <c r="A2" s="134"/>
      <c r="B2" s="135"/>
      <c r="C2" s="135"/>
      <c r="D2" s="135"/>
      <c r="E2" s="135"/>
      <c r="F2" s="135"/>
      <c r="G2" s="135"/>
      <c r="H2" s="135"/>
      <c r="I2" s="135"/>
      <c r="J2" s="136"/>
    </row>
    <row r="3" spans="1:85" s="12" customFormat="1" x14ac:dyDescent="0.2">
      <c r="A3" s="26" t="s">
        <v>1</v>
      </c>
      <c r="B3" s="137" t="s">
        <v>45</v>
      </c>
      <c r="C3" s="138"/>
      <c r="D3" s="138"/>
      <c r="E3" s="138"/>
      <c r="F3" s="138"/>
      <c r="G3" s="138"/>
      <c r="H3" s="138"/>
      <c r="I3" s="138"/>
      <c r="J3" s="139"/>
    </row>
    <row r="4" spans="1:85" s="12" customFormat="1" x14ac:dyDescent="0.2">
      <c r="A4" s="27" t="s">
        <v>2</v>
      </c>
      <c r="B4" s="140" t="s">
        <v>46</v>
      </c>
      <c r="C4" s="141"/>
      <c r="D4" s="141"/>
      <c r="E4" s="141"/>
      <c r="F4" s="141"/>
      <c r="G4" s="141"/>
      <c r="H4" s="141"/>
      <c r="I4" s="141"/>
      <c r="J4" s="142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</row>
    <row r="5" spans="1:85" s="12" customFormat="1" x14ac:dyDescent="0.2">
      <c r="A5" s="143"/>
      <c r="B5" s="144"/>
      <c r="C5" s="144"/>
      <c r="D5" s="144"/>
      <c r="E5" s="144"/>
      <c r="F5" s="144"/>
      <c r="G5" s="144"/>
      <c r="H5" s="144"/>
      <c r="I5" s="144"/>
      <c r="J5" s="145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</row>
    <row r="6" spans="1:85" s="12" customFormat="1" x14ac:dyDescent="0.2">
      <c r="A6" s="146" t="s">
        <v>47</v>
      </c>
      <c r="B6" s="147"/>
      <c r="C6" s="147"/>
      <c r="D6" s="147"/>
      <c r="E6" s="147"/>
      <c r="F6" s="147"/>
      <c r="G6" s="147"/>
      <c r="H6" s="147"/>
      <c r="I6" s="147"/>
      <c r="J6" s="14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</row>
    <row r="7" spans="1:85" s="12" customFormat="1" x14ac:dyDescent="0.2">
      <c r="A7" s="151"/>
      <c r="B7" s="152"/>
      <c r="C7" s="152"/>
      <c r="D7" s="152"/>
      <c r="E7" s="152"/>
      <c r="F7" s="152"/>
      <c r="G7" s="152"/>
      <c r="H7" s="152"/>
      <c r="I7" s="152"/>
      <c r="J7" s="153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</row>
    <row r="8" spans="1:85" s="12" customFormat="1" x14ac:dyDescent="0.2">
      <c r="A8" s="103" t="s">
        <v>15</v>
      </c>
      <c r="B8" s="104"/>
      <c r="C8" s="104"/>
      <c r="D8" s="104"/>
      <c r="E8" s="104"/>
      <c r="F8" s="104"/>
      <c r="G8" s="104"/>
      <c r="H8" s="104"/>
      <c r="I8" s="104"/>
      <c r="J8" s="105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</row>
    <row r="9" spans="1:85" s="12" customFormat="1" x14ac:dyDescent="0.2">
      <c r="A9" s="47"/>
      <c r="B9" s="48"/>
      <c r="C9" s="48"/>
      <c r="D9" s="48"/>
      <c r="E9" s="48"/>
      <c r="F9" s="48"/>
      <c r="G9" s="48"/>
      <c r="H9" s="49"/>
      <c r="I9" s="5"/>
      <c r="J9" s="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</row>
    <row r="10" spans="1:85" s="12" customFormat="1" ht="30.6" customHeight="1" x14ac:dyDescent="0.2">
      <c r="A10" s="52" t="s">
        <v>3</v>
      </c>
      <c r="B10" s="84" t="s">
        <v>110</v>
      </c>
      <c r="C10" s="51"/>
      <c r="D10" s="86" t="s">
        <v>27</v>
      </c>
      <c r="E10" s="87"/>
      <c r="F10" s="87"/>
      <c r="G10" s="87"/>
      <c r="H10" s="87"/>
      <c r="I10" s="87"/>
      <c r="J10" s="8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</row>
    <row r="11" spans="1:85" s="12" customFormat="1" x14ac:dyDescent="0.2">
      <c r="A11" s="52" t="s">
        <v>4</v>
      </c>
      <c r="B11" s="54"/>
      <c r="C11" s="55"/>
      <c r="D11" s="89"/>
      <c r="E11" s="90"/>
      <c r="F11" s="90"/>
      <c r="G11" s="90"/>
      <c r="H11" s="90"/>
      <c r="I11" s="90"/>
      <c r="J11" s="91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</row>
    <row r="12" spans="1:85" s="12" customFormat="1" x14ac:dyDescent="0.2">
      <c r="A12" s="149" t="s">
        <v>5</v>
      </c>
      <c r="B12" s="150"/>
      <c r="C12" s="116" t="s">
        <v>89</v>
      </c>
      <c r="D12" s="50" t="s">
        <v>18</v>
      </c>
      <c r="E12" s="50" t="s">
        <v>10</v>
      </c>
      <c r="F12" s="50"/>
      <c r="G12" s="50"/>
      <c r="H12" s="50"/>
      <c r="I12" s="31" t="s">
        <v>19</v>
      </c>
      <c r="J12" s="42" t="s">
        <v>6</v>
      </c>
      <c r="K12" s="28"/>
      <c r="L12" s="31" t="s">
        <v>38</v>
      </c>
      <c r="M12" s="31" t="s">
        <v>39</v>
      </c>
      <c r="N12" s="36">
        <f>M318</f>
        <v>635107.66000000015</v>
      </c>
      <c r="O12" s="37">
        <f>N12+L21</f>
        <v>676618.29665760021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</row>
    <row r="13" spans="1:85" s="12" customFormat="1" x14ac:dyDescent="0.2">
      <c r="A13" s="128"/>
      <c r="B13" s="129"/>
      <c r="C13" s="117"/>
      <c r="D13" s="2">
        <v>1</v>
      </c>
      <c r="E13" s="2">
        <v>1</v>
      </c>
      <c r="F13" s="50"/>
      <c r="G13" s="50"/>
      <c r="H13" s="50"/>
      <c r="I13" s="32">
        <f>ROUND(D13*E13,2)</f>
        <v>1</v>
      </c>
      <c r="J13" s="122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</row>
    <row r="14" spans="1:85" s="12" customFormat="1" x14ac:dyDescent="0.2">
      <c r="A14" s="109" t="s">
        <v>7</v>
      </c>
      <c r="B14" s="110"/>
      <c r="C14" s="110"/>
      <c r="D14" s="110"/>
      <c r="E14" s="110"/>
      <c r="F14" s="110"/>
      <c r="G14" s="110"/>
      <c r="H14" s="111"/>
      <c r="I14" s="56">
        <f>ROUND(SUM(I13:I13),2)</f>
        <v>1</v>
      </c>
      <c r="J14" s="123"/>
      <c r="K14" s="28"/>
      <c r="L14" s="33">
        <v>1717.48</v>
      </c>
      <c r="M14" s="3">
        <f>ROUND(I14*L14,2)</f>
        <v>1717.48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</row>
    <row r="15" spans="1:85" s="12" customFormat="1" x14ac:dyDescent="0.2">
      <c r="A15" s="47"/>
      <c r="B15" s="48"/>
      <c r="C15" s="6"/>
      <c r="D15" s="6"/>
      <c r="E15" s="6"/>
      <c r="F15" s="6"/>
      <c r="G15" s="6"/>
      <c r="H15" s="6"/>
      <c r="I15" s="8"/>
      <c r="J15" s="10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</row>
    <row r="16" spans="1:85" s="12" customFormat="1" ht="12" customHeight="1" x14ac:dyDescent="0.2">
      <c r="A16" s="52" t="s">
        <v>3</v>
      </c>
      <c r="B16" s="84" t="s">
        <v>111</v>
      </c>
      <c r="C16" s="51"/>
      <c r="D16" s="86" t="s">
        <v>145</v>
      </c>
      <c r="E16" s="87"/>
      <c r="F16" s="87"/>
      <c r="G16" s="87"/>
      <c r="H16" s="87"/>
      <c r="I16" s="87"/>
      <c r="J16" s="88"/>
      <c r="K16" s="28"/>
      <c r="L16" s="28"/>
      <c r="M16" s="28"/>
      <c r="N16" s="37">
        <v>209931.8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</row>
    <row r="17" spans="1:85" s="12" customFormat="1" x14ac:dyDescent="0.2">
      <c r="A17" s="52" t="s">
        <v>4</v>
      </c>
      <c r="B17" s="54"/>
      <c r="C17" s="55"/>
      <c r="D17" s="89"/>
      <c r="E17" s="90"/>
      <c r="F17" s="90"/>
      <c r="G17" s="90"/>
      <c r="H17" s="90"/>
      <c r="I17" s="90"/>
      <c r="J17" s="9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</row>
    <row r="18" spans="1:85" s="12" customFormat="1" x14ac:dyDescent="0.2">
      <c r="A18" s="112" t="s">
        <v>5</v>
      </c>
      <c r="B18" s="113"/>
      <c r="C18" s="116" t="s">
        <v>89</v>
      </c>
      <c r="D18" s="116" t="s">
        <v>141</v>
      </c>
      <c r="E18" s="116"/>
      <c r="F18" s="116"/>
      <c r="G18" s="116"/>
      <c r="H18" s="118"/>
      <c r="I18" s="120" t="s">
        <v>142</v>
      </c>
      <c r="J18" s="122" t="s">
        <v>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</row>
    <row r="19" spans="1:85" s="12" customFormat="1" x14ac:dyDescent="0.2">
      <c r="A19" s="114"/>
      <c r="B19" s="115"/>
      <c r="C19" s="117"/>
      <c r="D19" s="117"/>
      <c r="E19" s="117"/>
      <c r="F19" s="117"/>
      <c r="G19" s="117"/>
      <c r="H19" s="119"/>
      <c r="I19" s="121"/>
      <c r="J19" s="123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</row>
    <row r="20" spans="1:85" s="12" customFormat="1" x14ac:dyDescent="0.2">
      <c r="A20" s="101"/>
      <c r="B20" s="102"/>
      <c r="C20" s="1"/>
      <c r="D20" s="2">
        <v>4</v>
      </c>
      <c r="E20" s="2"/>
      <c r="F20" s="44"/>
      <c r="G20" s="44"/>
      <c r="H20" s="46"/>
      <c r="I20" s="32">
        <f>ROUND(D20,2)</f>
        <v>4</v>
      </c>
      <c r="J20" s="122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</row>
    <row r="21" spans="1:85" s="12" customFormat="1" x14ac:dyDescent="0.2">
      <c r="A21" s="106" t="s">
        <v>7</v>
      </c>
      <c r="B21" s="107"/>
      <c r="C21" s="107"/>
      <c r="D21" s="107"/>
      <c r="E21" s="107"/>
      <c r="F21" s="107"/>
      <c r="G21" s="107"/>
      <c r="H21" s="108"/>
      <c r="I21" s="56">
        <f>ROUND(SUM(I20:I20),2)</f>
        <v>4</v>
      </c>
      <c r="J21" s="123"/>
      <c r="K21" s="28"/>
      <c r="L21" s="33">
        <f>(N12*0.05)*(1.3072)</f>
        <v>41510.636657600007</v>
      </c>
      <c r="M21" s="3"/>
      <c r="N21" s="28">
        <f>L21*D20</f>
        <v>166042.54663040003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</row>
    <row r="22" spans="1:85" s="12" customFormat="1" x14ac:dyDescent="0.2">
      <c r="A22" s="47"/>
      <c r="B22" s="48"/>
      <c r="C22" s="6"/>
      <c r="D22" s="6"/>
      <c r="E22" s="6"/>
      <c r="F22" s="6"/>
      <c r="G22" s="6"/>
      <c r="H22" s="6"/>
      <c r="I22" s="8"/>
      <c r="J22" s="10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</row>
    <row r="23" spans="1:85" s="12" customFormat="1" ht="12" customHeight="1" x14ac:dyDescent="0.2">
      <c r="A23" s="52" t="s">
        <v>3</v>
      </c>
      <c r="B23" s="84" t="s">
        <v>112</v>
      </c>
      <c r="C23" s="126"/>
      <c r="D23" s="86" t="s">
        <v>8</v>
      </c>
      <c r="E23" s="87"/>
      <c r="F23" s="87"/>
      <c r="G23" s="87"/>
      <c r="H23" s="87"/>
      <c r="I23" s="87"/>
      <c r="J23" s="8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</row>
    <row r="24" spans="1:85" s="12" customFormat="1" x14ac:dyDescent="0.2">
      <c r="A24" s="52" t="s">
        <v>4</v>
      </c>
      <c r="B24" s="54"/>
      <c r="C24" s="127"/>
      <c r="D24" s="89"/>
      <c r="E24" s="90"/>
      <c r="F24" s="90"/>
      <c r="G24" s="90"/>
      <c r="H24" s="90"/>
      <c r="I24" s="90"/>
      <c r="J24" s="91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</row>
    <row r="25" spans="1:85" s="12" customFormat="1" x14ac:dyDescent="0.2">
      <c r="A25" s="112" t="s">
        <v>5</v>
      </c>
      <c r="B25" s="113"/>
      <c r="C25" s="116" t="s">
        <v>89</v>
      </c>
      <c r="D25" s="116" t="s">
        <v>9</v>
      </c>
      <c r="E25" s="116" t="s">
        <v>10</v>
      </c>
      <c r="F25" s="116"/>
      <c r="G25" s="116"/>
      <c r="H25" s="118"/>
      <c r="I25" s="120" t="s">
        <v>13</v>
      </c>
      <c r="J25" s="122" t="s">
        <v>6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</row>
    <row r="26" spans="1:85" s="12" customFormat="1" x14ac:dyDescent="0.2">
      <c r="A26" s="114"/>
      <c r="B26" s="115"/>
      <c r="C26" s="117"/>
      <c r="D26" s="117"/>
      <c r="E26" s="117"/>
      <c r="F26" s="117"/>
      <c r="G26" s="117"/>
      <c r="H26" s="119"/>
      <c r="I26" s="121"/>
      <c r="J26" s="12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</row>
    <row r="27" spans="1:85" s="12" customFormat="1" x14ac:dyDescent="0.2">
      <c r="A27" s="101" t="s">
        <v>48</v>
      </c>
      <c r="B27" s="102"/>
      <c r="C27" s="1" t="s">
        <v>49</v>
      </c>
      <c r="D27" s="2">
        <f>91.35+37.44+59.89+18.63+36.32</f>
        <v>243.63</v>
      </c>
      <c r="E27" s="2">
        <v>3</v>
      </c>
      <c r="F27" s="44"/>
      <c r="G27" s="44"/>
      <c r="H27" s="46"/>
      <c r="I27" s="4">
        <f>ROUND(D27*E27,2)</f>
        <v>730.89</v>
      </c>
      <c r="J27" s="122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</row>
    <row r="28" spans="1:85" s="12" customFormat="1" x14ac:dyDescent="0.2">
      <c r="A28" s="101" t="s">
        <v>50</v>
      </c>
      <c r="B28" s="102"/>
      <c r="C28" s="1">
        <v>54.73</v>
      </c>
      <c r="D28" s="2">
        <v>54.73</v>
      </c>
      <c r="E28" s="2">
        <v>6</v>
      </c>
      <c r="F28" s="44"/>
      <c r="G28" s="44"/>
      <c r="H28" s="46"/>
      <c r="I28" s="4">
        <f t="shared" ref="I28:I35" si="0">ROUND(D28*E28,2)</f>
        <v>328.38</v>
      </c>
      <c r="J28" s="12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</row>
    <row r="29" spans="1:85" s="12" customFormat="1" x14ac:dyDescent="0.2">
      <c r="A29" s="101" t="s">
        <v>51</v>
      </c>
      <c r="B29" s="102"/>
      <c r="C29" s="1">
        <v>135.57</v>
      </c>
      <c r="D29" s="2">
        <v>135.57</v>
      </c>
      <c r="E29" s="2">
        <v>3</v>
      </c>
      <c r="F29" s="44"/>
      <c r="G29" s="44"/>
      <c r="H29" s="46"/>
      <c r="I29" s="4">
        <f t="shared" si="0"/>
        <v>406.71</v>
      </c>
      <c r="J29" s="12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</row>
    <row r="30" spans="1:85" s="12" customFormat="1" x14ac:dyDescent="0.2">
      <c r="A30" s="101" t="s">
        <v>59</v>
      </c>
      <c r="B30" s="102"/>
      <c r="C30" s="1">
        <v>112.76</v>
      </c>
      <c r="D30" s="2">
        <v>112.76</v>
      </c>
      <c r="E30" s="2">
        <v>3</v>
      </c>
      <c r="F30" s="44"/>
      <c r="G30" s="44"/>
      <c r="H30" s="46"/>
      <c r="I30" s="4">
        <f t="shared" si="0"/>
        <v>338.28</v>
      </c>
      <c r="J30" s="124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</row>
    <row r="31" spans="1:85" s="12" customFormat="1" x14ac:dyDescent="0.2">
      <c r="A31" s="101" t="s">
        <v>60</v>
      </c>
      <c r="B31" s="102"/>
      <c r="C31" s="1">
        <v>72.760000000000005</v>
      </c>
      <c r="D31" s="2">
        <v>72.760000000000005</v>
      </c>
      <c r="E31" s="2">
        <v>3</v>
      </c>
      <c r="F31" s="44"/>
      <c r="G31" s="44"/>
      <c r="H31" s="46"/>
      <c r="I31" s="4">
        <f t="shared" si="0"/>
        <v>218.28</v>
      </c>
      <c r="J31" s="12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</row>
    <row r="32" spans="1:85" s="12" customFormat="1" x14ac:dyDescent="0.2">
      <c r="A32" s="128" t="s">
        <v>52</v>
      </c>
      <c r="B32" s="129"/>
      <c r="C32" s="22">
        <v>18.96</v>
      </c>
      <c r="D32" s="2">
        <v>18.96</v>
      </c>
      <c r="E32" s="2">
        <v>3</v>
      </c>
      <c r="F32" s="50"/>
      <c r="G32" s="50"/>
      <c r="H32" s="50"/>
      <c r="I32" s="4">
        <f t="shared" si="0"/>
        <v>56.88</v>
      </c>
      <c r="J32" s="12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</row>
    <row r="33" spans="1:85" s="12" customFormat="1" x14ac:dyDescent="0.2">
      <c r="A33" s="128" t="s">
        <v>53</v>
      </c>
      <c r="B33" s="129"/>
      <c r="C33" s="22" t="s">
        <v>54</v>
      </c>
      <c r="D33" s="2">
        <f>4.91+13.55</f>
        <v>18.46</v>
      </c>
      <c r="E33" s="2">
        <v>3</v>
      </c>
      <c r="F33" s="50"/>
      <c r="G33" s="50"/>
      <c r="H33" s="50"/>
      <c r="I33" s="4">
        <f t="shared" si="0"/>
        <v>55.38</v>
      </c>
      <c r="J33" s="12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</row>
    <row r="34" spans="1:85" s="12" customFormat="1" x14ac:dyDescent="0.2">
      <c r="A34" s="128" t="s">
        <v>55</v>
      </c>
      <c r="B34" s="129"/>
      <c r="C34" s="22">
        <v>104.41</v>
      </c>
      <c r="D34" s="2">
        <v>104.41</v>
      </c>
      <c r="E34" s="2">
        <v>3</v>
      </c>
      <c r="F34" s="50"/>
      <c r="G34" s="50"/>
      <c r="H34" s="50"/>
      <c r="I34" s="4">
        <f t="shared" si="0"/>
        <v>313.23</v>
      </c>
      <c r="J34" s="12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</row>
    <row r="35" spans="1:85" s="12" customFormat="1" x14ac:dyDescent="0.2">
      <c r="A35" s="128" t="s">
        <v>56</v>
      </c>
      <c r="B35" s="129"/>
      <c r="C35" s="22" t="s">
        <v>57</v>
      </c>
      <c r="D35" s="2">
        <f>36.14+44.56+23.75</f>
        <v>104.45</v>
      </c>
      <c r="E35" s="2">
        <v>3</v>
      </c>
      <c r="F35" s="50"/>
      <c r="G35" s="50"/>
      <c r="H35" s="50"/>
      <c r="I35" s="4">
        <f t="shared" si="0"/>
        <v>313.35000000000002</v>
      </c>
      <c r="J35" s="12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</row>
    <row r="36" spans="1:85" s="12" customFormat="1" x14ac:dyDescent="0.2">
      <c r="A36" s="106" t="s">
        <v>7</v>
      </c>
      <c r="B36" s="107"/>
      <c r="C36" s="107"/>
      <c r="D36" s="107"/>
      <c r="E36" s="107"/>
      <c r="F36" s="107"/>
      <c r="G36" s="107"/>
      <c r="H36" s="108"/>
      <c r="I36" s="56">
        <f>ROUND(SUM(I27:I35),2)</f>
        <v>2761.38</v>
      </c>
      <c r="J36" s="123"/>
      <c r="K36" s="28"/>
      <c r="L36" s="34">
        <v>0.77</v>
      </c>
      <c r="M36" s="3">
        <f>ROUND(I36*L36,2)</f>
        <v>2126.2600000000002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</row>
    <row r="37" spans="1:85" s="12" customFormat="1" x14ac:dyDescent="0.2">
      <c r="A37" s="11"/>
      <c r="J37" s="13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</row>
    <row r="38" spans="1:85" s="12" customFormat="1" x14ac:dyDescent="0.2">
      <c r="A38" s="103" t="s">
        <v>146</v>
      </c>
      <c r="B38" s="104"/>
      <c r="C38" s="104"/>
      <c r="D38" s="104"/>
      <c r="E38" s="104"/>
      <c r="F38" s="104"/>
      <c r="G38" s="104"/>
      <c r="H38" s="104"/>
      <c r="I38" s="104"/>
      <c r="J38" s="105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</row>
    <row r="39" spans="1:85" s="12" customFormat="1" x14ac:dyDescent="0.2">
      <c r="A39" s="11"/>
      <c r="J39" s="13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</row>
    <row r="40" spans="1:85" s="12" customFormat="1" ht="12" customHeight="1" x14ac:dyDescent="0.2">
      <c r="A40" s="52" t="s">
        <v>3</v>
      </c>
      <c r="B40" s="84"/>
      <c r="C40" s="126"/>
      <c r="D40" s="86" t="s">
        <v>104</v>
      </c>
      <c r="E40" s="87"/>
      <c r="F40" s="87"/>
      <c r="G40" s="87"/>
      <c r="H40" s="87"/>
      <c r="I40" s="87"/>
      <c r="J40" s="8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</row>
    <row r="41" spans="1:85" s="12" customFormat="1" x14ac:dyDescent="0.2">
      <c r="A41" s="52" t="s">
        <v>4</v>
      </c>
      <c r="B41" s="54"/>
      <c r="C41" s="127"/>
      <c r="D41" s="89"/>
      <c r="E41" s="90"/>
      <c r="F41" s="90"/>
      <c r="G41" s="90"/>
      <c r="H41" s="90"/>
      <c r="I41" s="90"/>
      <c r="J41" s="91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</row>
    <row r="42" spans="1:85" s="12" customFormat="1" x14ac:dyDescent="0.2">
      <c r="A42" s="112" t="s">
        <v>5</v>
      </c>
      <c r="B42" s="113"/>
      <c r="C42" s="116" t="s">
        <v>89</v>
      </c>
      <c r="D42" s="116" t="s">
        <v>9</v>
      </c>
      <c r="E42" s="116" t="s">
        <v>16</v>
      </c>
      <c r="F42" s="116" t="s">
        <v>11</v>
      </c>
      <c r="G42" s="116" t="s">
        <v>10</v>
      </c>
      <c r="H42" s="118"/>
      <c r="I42" s="120" t="s">
        <v>25</v>
      </c>
      <c r="J42" s="122" t="s">
        <v>6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</row>
    <row r="43" spans="1:85" s="12" customFormat="1" x14ac:dyDescent="0.2">
      <c r="A43" s="114"/>
      <c r="B43" s="115"/>
      <c r="C43" s="117"/>
      <c r="D43" s="117"/>
      <c r="E43" s="117"/>
      <c r="F43" s="117"/>
      <c r="G43" s="117"/>
      <c r="H43" s="119"/>
      <c r="I43" s="121"/>
      <c r="J43" s="123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</row>
    <row r="44" spans="1:85" s="12" customFormat="1" x14ac:dyDescent="0.2">
      <c r="A44" s="101" t="str">
        <f t="shared" ref="A44:A52" si="1">A27</f>
        <v>RUA BRUNO AVELINO</v>
      </c>
      <c r="B44" s="102"/>
      <c r="C44" s="1"/>
      <c r="D44" s="2">
        <f t="shared" ref="D44:D52" si="2">D27</f>
        <v>243.63</v>
      </c>
      <c r="E44" s="2">
        <f>3.4+0.45+0.45</f>
        <v>4.3</v>
      </c>
      <c r="F44" s="7">
        <v>0.15</v>
      </c>
      <c r="G44" s="2">
        <v>2</v>
      </c>
      <c r="H44" s="46"/>
      <c r="I44" s="4">
        <f>ROUND(D44*E44*F44*G44,2)</f>
        <v>314.27999999999997</v>
      </c>
      <c r="J44" s="154" t="s">
        <v>58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</row>
    <row r="45" spans="1:85" s="12" customFormat="1" x14ac:dyDescent="0.2">
      <c r="A45" s="101" t="str">
        <f t="shared" si="1"/>
        <v>AVENIDA JOSE DUARTE</v>
      </c>
      <c r="B45" s="102"/>
      <c r="C45" s="1"/>
      <c r="D45" s="2">
        <f t="shared" si="2"/>
        <v>54.73</v>
      </c>
      <c r="E45" s="2">
        <f>(6+0.45+0.15)*2</f>
        <v>13.200000000000001</v>
      </c>
      <c r="F45" s="7">
        <v>0.15</v>
      </c>
      <c r="G45" s="2">
        <v>2</v>
      </c>
      <c r="H45" s="46"/>
      <c r="I45" s="4">
        <f t="shared" ref="I45:I52" si="3">ROUND(D45*E45*F45*G45,2)</f>
        <v>216.73</v>
      </c>
      <c r="J45" s="155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</row>
    <row r="46" spans="1:85" s="12" customFormat="1" x14ac:dyDescent="0.2">
      <c r="A46" s="101" t="str">
        <f t="shared" si="1"/>
        <v>RUA A</v>
      </c>
      <c r="B46" s="102"/>
      <c r="C46" s="1"/>
      <c r="D46" s="2">
        <f t="shared" si="2"/>
        <v>135.57</v>
      </c>
      <c r="E46" s="2">
        <f>6+0.45+0.45</f>
        <v>6.9</v>
      </c>
      <c r="F46" s="7">
        <v>0.15</v>
      </c>
      <c r="G46" s="2">
        <v>2</v>
      </c>
      <c r="H46" s="46"/>
      <c r="I46" s="4">
        <f t="shared" si="3"/>
        <v>280.63</v>
      </c>
      <c r="J46" s="155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</row>
    <row r="47" spans="1:85" s="12" customFormat="1" x14ac:dyDescent="0.2">
      <c r="A47" s="101" t="str">
        <f t="shared" si="1"/>
        <v xml:space="preserve">RUA JUSTINO DUARTE TRECHO </v>
      </c>
      <c r="B47" s="102"/>
      <c r="C47" s="1"/>
      <c r="D47" s="2">
        <f t="shared" si="2"/>
        <v>112.76</v>
      </c>
      <c r="E47" s="2">
        <f>6+0.45+0.45</f>
        <v>6.9</v>
      </c>
      <c r="F47" s="7">
        <v>0.15</v>
      </c>
      <c r="G47" s="2">
        <v>2</v>
      </c>
      <c r="H47" s="46"/>
      <c r="I47" s="4">
        <f t="shared" si="3"/>
        <v>233.41</v>
      </c>
      <c r="J47" s="155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</row>
    <row r="48" spans="1:85" s="12" customFormat="1" x14ac:dyDescent="0.2">
      <c r="A48" s="101" t="str">
        <f t="shared" si="1"/>
        <v xml:space="preserve">RUA E </v>
      </c>
      <c r="B48" s="102"/>
      <c r="C48" s="1"/>
      <c r="D48" s="2">
        <f t="shared" si="2"/>
        <v>72.760000000000005</v>
      </c>
      <c r="E48" s="2">
        <f>6+0.45+0.45</f>
        <v>6.9</v>
      </c>
      <c r="F48" s="7">
        <v>0.15</v>
      </c>
      <c r="G48" s="2">
        <v>2</v>
      </c>
      <c r="H48" s="46"/>
      <c r="I48" s="4">
        <f t="shared" si="3"/>
        <v>150.61000000000001</v>
      </c>
      <c r="J48" s="155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</row>
    <row r="49" spans="1:85" s="12" customFormat="1" x14ac:dyDescent="0.2">
      <c r="A49" s="101" t="str">
        <f t="shared" si="1"/>
        <v>AVENIDA MONTES CLAROS</v>
      </c>
      <c r="B49" s="102"/>
      <c r="C49" s="1"/>
      <c r="D49" s="2">
        <f t="shared" si="2"/>
        <v>18.96</v>
      </c>
      <c r="E49" s="2">
        <f>7.4+0.45+0.45</f>
        <v>8.3000000000000007</v>
      </c>
      <c r="F49" s="7">
        <v>0.15</v>
      </c>
      <c r="G49" s="2">
        <v>2</v>
      </c>
      <c r="H49" s="46"/>
      <c r="I49" s="4">
        <f t="shared" si="3"/>
        <v>47.21</v>
      </c>
      <c r="J49" s="155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</row>
    <row r="50" spans="1:85" s="12" customFormat="1" x14ac:dyDescent="0.2">
      <c r="A50" s="101" t="str">
        <f t="shared" si="1"/>
        <v>RUA PEDRO DUARTE</v>
      </c>
      <c r="B50" s="102"/>
      <c r="C50" s="1"/>
      <c r="D50" s="2">
        <f t="shared" si="2"/>
        <v>18.46</v>
      </c>
      <c r="E50" s="2">
        <f>6.3+0.45+0.45</f>
        <v>7.2</v>
      </c>
      <c r="F50" s="7">
        <v>0.15</v>
      </c>
      <c r="G50" s="2">
        <v>2</v>
      </c>
      <c r="H50" s="46"/>
      <c r="I50" s="4">
        <f t="shared" si="3"/>
        <v>39.869999999999997</v>
      </c>
      <c r="J50" s="155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</row>
    <row r="51" spans="1:85" s="12" customFormat="1" x14ac:dyDescent="0.2">
      <c r="A51" s="101" t="str">
        <f t="shared" si="1"/>
        <v xml:space="preserve">RUA B </v>
      </c>
      <c r="B51" s="102"/>
      <c r="C51" s="57"/>
      <c r="D51" s="2">
        <f t="shared" si="2"/>
        <v>104.41</v>
      </c>
      <c r="E51" s="2">
        <f>6+0.45+0.45</f>
        <v>6.9</v>
      </c>
      <c r="F51" s="7">
        <v>0.15</v>
      </c>
      <c r="G51" s="2">
        <v>2</v>
      </c>
      <c r="H51" s="58"/>
      <c r="I51" s="4">
        <f t="shared" si="3"/>
        <v>216.13</v>
      </c>
      <c r="J51" s="155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</row>
    <row r="52" spans="1:85" s="12" customFormat="1" x14ac:dyDescent="0.2">
      <c r="A52" s="101" t="str">
        <f t="shared" si="1"/>
        <v>RUA EUGENIO DOS SANTOS</v>
      </c>
      <c r="B52" s="102"/>
      <c r="C52" s="57"/>
      <c r="D52" s="2">
        <f t="shared" si="2"/>
        <v>104.45</v>
      </c>
      <c r="E52" s="2">
        <f>7.8+0.45+0.45</f>
        <v>8.6999999999999993</v>
      </c>
      <c r="F52" s="7">
        <v>0.15</v>
      </c>
      <c r="G52" s="2">
        <v>2</v>
      </c>
      <c r="H52" s="58"/>
      <c r="I52" s="4">
        <f t="shared" si="3"/>
        <v>272.61</v>
      </c>
      <c r="J52" s="155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</row>
    <row r="53" spans="1:85" s="12" customFormat="1" x14ac:dyDescent="0.2">
      <c r="A53" s="106" t="s">
        <v>7</v>
      </c>
      <c r="B53" s="107"/>
      <c r="C53" s="107"/>
      <c r="D53" s="107"/>
      <c r="E53" s="107"/>
      <c r="F53" s="107"/>
      <c r="G53" s="107"/>
      <c r="H53" s="108"/>
      <c r="I53" s="56">
        <f>ROUND(SUM(I44:I52),2)</f>
        <v>1771.48</v>
      </c>
      <c r="J53" s="156"/>
      <c r="K53" s="28"/>
      <c r="L53" s="33">
        <v>2.72</v>
      </c>
      <c r="M53" s="3">
        <f>ROUND(I53*L53,2)</f>
        <v>4818.43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</row>
    <row r="54" spans="1:85" s="12" customFormat="1" x14ac:dyDescent="0.2">
      <c r="A54" s="15"/>
      <c r="B54" s="61"/>
      <c r="C54" s="61"/>
      <c r="D54" s="61"/>
      <c r="E54" s="61"/>
      <c r="F54" s="61"/>
      <c r="G54" s="61"/>
      <c r="H54" s="61"/>
      <c r="I54" s="63"/>
      <c r="J54" s="62"/>
      <c r="K54" s="28"/>
      <c r="L54" s="39"/>
      <c r="M54" s="3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</row>
    <row r="55" spans="1:85" s="12" customFormat="1" ht="12.75" customHeight="1" x14ac:dyDescent="0.2">
      <c r="A55" s="52" t="s">
        <v>3</v>
      </c>
      <c r="B55" s="53"/>
      <c r="C55" s="51"/>
      <c r="D55" s="86" t="s">
        <v>105</v>
      </c>
      <c r="E55" s="87"/>
      <c r="F55" s="87"/>
      <c r="G55" s="87"/>
      <c r="H55" s="87"/>
      <c r="I55" s="87"/>
      <c r="J55" s="8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</row>
    <row r="56" spans="1:85" s="12" customFormat="1" x14ac:dyDescent="0.2">
      <c r="A56" s="52" t="s">
        <v>4</v>
      </c>
      <c r="B56" s="54"/>
      <c r="C56" s="55"/>
      <c r="D56" s="89"/>
      <c r="E56" s="90"/>
      <c r="F56" s="90"/>
      <c r="G56" s="90"/>
      <c r="H56" s="90"/>
      <c r="I56" s="90"/>
      <c r="J56" s="91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</row>
    <row r="57" spans="1:85" s="12" customFormat="1" x14ac:dyDescent="0.2">
      <c r="A57" s="112" t="s">
        <v>5</v>
      </c>
      <c r="B57" s="113"/>
      <c r="C57" s="116" t="s">
        <v>89</v>
      </c>
      <c r="D57" s="116" t="s">
        <v>9</v>
      </c>
      <c r="E57" s="116" t="s">
        <v>16</v>
      </c>
      <c r="F57" s="116" t="s">
        <v>11</v>
      </c>
      <c r="G57" s="116" t="s">
        <v>10</v>
      </c>
      <c r="H57" s="116" t="s">
        <v>22</v>
      </c>
      <c r="I57" s="120" t="s">
        <v>23</v>
      </c>
      <c r="J57" s="122" t="s">
        <v>6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</row>
    <row r="58" spans="1:85" s="12" customFormat="1" x14ac:dyDescent="0.2">
      <c r="A58" s="114"/>
      <c r="B58" s="115"/>
      <c r="C58" s="117"/>
      <c r="D58" s="117"/>
      <c r="E58" s="117"/>
      <c r="F58" s="117"/>
      <c r="G58" s="117"/>
      <c r="H58" s="117"/>
      <c r="I58" s="121"/>
      <c r="J58" s="12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</row>
    <row r="59" spans="1:85" s="12" customFormat="1" x14ac:dyDescent="0.2">
      <c r="A59" s="101" t="str">
        <f t="shared" ref="A59:A67" si="4">A44</f>
        <v>RUA BRUNO AVELINO</v>
      </c>
      <c r="B59" s="130"/>
      <c r="C59" s="1"/>
      <c r="D59" s="2">
        <f t="shared" ref="D59:F67" si="5">D44</f>
        <v>243.63</v>
      </c>
      <c r="E59" s="2">
        <f t="shared" si="5"/>
        <v>4.3</v>
      </c>
      <c r="F59" s="7">
        <f t="shared" si="5"/>
        <v>0.15</v>
      </c>
      <c r="G59" s="2">
        <v>1</v>
      </c>
      <c r="H59" s="80">
        <f>606/1000</f>
        <v>0.60599999999999998</v>
      </c>
      <c r="I59" s="4">
        <f>ROUND(D59*E59*F59*G59*H59,2)</f>
        <v>95.23</v>
      </c>
      <c r="J59" s="122" t="s">
        <v>20</v>
      </c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</row>
    <row r="60" spans="1:85" s="12" customFormat="1" x14ac:dyDescent="0.2">
      <c r="A60" s="101" t="str">
        <f t="shared" si="4"/>
        <v>AVENIDA JOSE DUARTE</v>
      </c>
      <c r="B60" s="130"/>
      <c r="C60" s="1"/>
      <c r="D60" s="2">
        <f t="shared" si="5"/>
        <v>54.73</v>
      </c>
      <c r="E60" s="2">
        <f t="shared" si="5"/>
        <v>13.200000000000001</v>
      </c>
      <c r="F60" s="7">
        <f t="shared" si="5"/>
        <v>0.15</v>
      </c>
      <c r="G60" s="2">
        <v>1</v>
      </c>
      <c r="H60" s="80">
        <f t="shared" ref="H60:H67" si="6">606/1000</f>
        <v>0.60599999999999998</v>
      </c>
      <c r="I60" s="4">
        <f t="shared" ref="I60:I67" si="7">ROUND(D60*E60*F60*G60*H60,2)</f>
        <v>65.67</v>
      </c>
      <c r="J60" s="124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</row>
    <row r="61" spans="1:85" s="12" customFormat="1" x14ac:dyDescent="0.2">
      <c r="A61" s="101" t="str">
        <f t="shared" si="4"/>
        <v>RUA A</v>
      </c>
      <c r="B61" s="130"/>
      <c r="C61" s="1"/>
      <c r="D61" s="2">
        <f t="shared" si="5"/>
        <v>135.57</v>
      </c>
      <c r="E61" s="2">
        <f t="shared" si="5"/>
        <v>6.9</v>
      </c>
      <c r="F61" s="7">
        <f t="shared" si="5"/>
        <v>0.15</v>
      </c>
      <c r="G61" s="2">
        <v>1</v>
      </c>
      <c r="H61" s="80">
        <f t="shared" si="6"/>
        <v>0.60599999999999998</v>
      </c>
      <c r="I61" s="4">
        <f t="shared" si="7"/>
        <v>85.03</v>
      </c>
      <c r="J61" s="124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</row>
    <row r="62" spans="1:85" s="12" customFormat="1" x14ac:dyDescent="0.2">
      <c r="A62" s="101" t="str">
        <f t="shared" si="4"/>
        <v xml:space="preserve">RUA JUSTINO DUARTE TRECHO </v>
      </c>
      <c r="B62" s="130"/>
      <c r="C62" s="1"/>
      <c r="D62" s="2">
        <f t="shared" si="5"/>
        <v>112.76</v>
      </c>
      <c r="E62" s="2">
        <f t="shared" si="5"/>
        <v>6.9</v>
      </c>
      <c r="F62" s="7">
        <f t="shared" si="5"/>
        <v>0.15</v>
      </c>
      <c r="G62" s="2">
        <v>1</v>
      </c>
      <c r="H62" s="80">
        <f t="shared" si="6"/>
        <v>0.60599999999999998</v>
      </c>
      <c r="I62" s="4">
        <f t="shared" si="7"/>
        <v>70.72</v>
      </c>
      <c r="J62" s="12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</row>
    <row r="63" spans="1:85" s="12" customFormat="1" x14ac:dyDescent="0.2">
      <c r="A63" s="101" t="str">
        <f t="shared" si="4"/>
        <v xml:space="preserve">RUA E </v>
      </c>
      <c r="B63" s="130"/>
      <c r="C63" s="1"/>
      <c r="D63" s="2">
        <f t="shared" si="5"/>
        <v>72.760000000000005</v>
      </c>
      <c r="E63" s="2">
        <f t="shared" si="5"/>
        <v>6.9</v>
      </c>
      <c r="F63" s="7">
        <f t="shared" si="5"/>
        <v>0.15</v>
      </c>
      <c r="G63" s="2">
        <v>1</v>
      </c>
      <c r="H63" s="80">
        <f t="shared" si="6"/>
        <v>0.60599999999999998</v>
      </c>
      <c r="I63" s="4">
        <f t="shared" si="7"/>
        <v>45.64</v>
      </c>
      <c r="J63" s="124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</row>
    <row r="64" spans="1:85" s="12" customFormat="1" x14ac:dyDescent="0.2">
      <c r="A64" s="101" t="str">
        <f t="shared" si="4"/>
        <v>AVENIDA MONTES CLAROS</v>
      </c>
      <c r="B64" s="130"/>
      <c r="C64" s="1"/>
      <c r="D64" s="2">
        <f t="shared" si="5"/>
        <v>18.96</v>
      </c>
      <c r="E64" s="2">
        <f t="shared" si="5"/>
        <v>8.3000000000000007</v>
      </c>
      <c r="F64" s="7">
        <f t="shared" si="5"/>
        <v>0.15</v>
      </c>
      <c r="G64" s="2">
        <v>1</v>
      </c>
      <c r="H64" s="80">
        <f t="shared" si="6"/>
        <v>0.60599999999999998</v>
      </c>
      <c r="I64" s="4">
        <f t="shared" si="7"/>
        <v>14.3</v>
      </c>
      <c r="J64" s="124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</row>
    <row r="65" spans="1:85" s="12" customFormat="1" x14ac:dyDescent="0.2">
      <c r="A65" s="101" t="str">
        <f t="shared" si="4"/>
        <v>RUA PEDRO DUARTE</v>
      </c>
      <c r="B65" s="130"/>
      <c r="C65" s="1"/>
      <c r="D65" s="2">
        <f t="shared" si="5"/>
        <v>18.46</v>
      </c>
      <c r="E65" s="2">
        <f t="shared" si="5"/>
        <v>7.2</v>
      </c>
      <c r="F65" s="7">
        <f t="shared" si="5"/>
        <v>0.15</v>
      </c>
      <c r="G65" s="2">
        <v>1</v>
      </c>
      <c r="H65" s="80">
        <f t="shared" si="6"/>
        <v>0.60599999999999998</v>
      </c>
      <c r="I65" s="4">
        <f t="shared" si="7"/>
        <v>12.08</v>
      </c>
      <c r="J65" s="12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</row>
    <row r="66" spans="1:85" s="12" customFormat="1" x14ac:dyDescent="0.2">
      <c r="A66" s="101" t="str">
        <f t="shared" si="4"/>
        <v xml:space="preserve">RUA B </v>
      </c>
      <c r="B66" s="130"/>
      <c r="C66" s="57"/>
      <c r="D66" s="2">
        <f t="shared" si="5"/>
        <v>104.41</v>
      </c>
      <c r="E66" s="2">
        <f t="shared" si="5"/>
        <v>6.9</v>
      </c>
      <c r="F66" s="7">
        <f t="shared" si="5"/>
        <v>0.15</v>
      </c>
      <c r="G66" s="2">
        <v>1</v>
      </c>
      <c r="H66" s="80">
        <f t="shared" si="6"/>
        <v>0.60599999999999998</v>
      </c>
      <c r="I66" s="4">
        <f t="shared" si="7"/>
        <v>65.489999999999995</v>
      </c>
      <c r="J66" s="124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</row>
    <row r="67" spans="1:85" s="12" customFormat="1" x14ac:dyDescent="0.2">
      <c r="A67" s="101" t="str">
        <f t="shared" si="4"/>
        <v>RUA EUGENIO DOS SANTOS</v>
      </c>
      <c r="B67" s="130"/>
      <c r="C67" s="57"/>
      <c r="D67" s="2">
        <f t="shared" si="5"/>
        <v>104.45</v>
      </c>
      <c r="E67" s="2">
        <f t="shared" si="5"/>
        <v>8.6999999999999993</v>
      </c>
      <c r="F67" s="7">
        <f t="shared" si="5"/>
        <v>0.15</v>
      </c>
      <c r="G67" s="2">
        <v>1</v>
      </c>
      <c r="H67" s="80">
        <f t="shared" si="6"/>
        <v>0.60599999999999998</v>
      </c>
      <c r="I67" s="4">
        <f t="shared" si="7"/>
        <v>82.6</v>
      </c>
      <c r="J67" s="124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</row>
    <row r="68" spans="1:85" s="12" customFormat="1" x14ac:dyDescent="0.2">
      <c r="A68" s="106" t="s">
        <v>7</v>
      </c>
      <c r="B68" s="107"/>
      <c r="C68" s="107"/>
      <c r="D68" s="107"/>
      <c r="E68" s="107"/>
      <c r="F68" s="107"/>
      <c r="G68" s="107"/>
      <c r="H68" s="108"/>
      <c r="I68" s="56">
        <f>ROUND(SUM(I59:I67),2)</f>
        <v>536.76</v>
      </c>
      <c r="J68" s="123"/>
      <c r="K68" s="28"/>
      <c r="L68" s="33">
        <v>3.18</v>
      </c>
      <c r="M68" s="3">
        <f>ROUND(I68*L68,2)</f>
        <v>1706.9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</row>
    <row r="69" spans="1:85" s="12" customFormat="1" x14ac:dyDescent="0.2">
      <c r="A69" s="11"/>
      <c r="J69" s="1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</row>
    <row r="70" spans="1:85" s="12" customFormat="1" ht="12" customHeight="1" x14ac:dyDescent="0.2">
      <c r="A70" s="52" t="s">
        <v>3</v>
      </c>
      <c r="B70" s="53"/>
      <c r="C70" s="51"/>
      <c r="D70" s="86" t="s">
        <v>137</v>
      </c>
      <c r="E70" s="87"/>
      <c r="F70" s="87"/>
      <c r="G70" s="87"/>
      <c r="H70" s="87"/>
      <c r="I70" s="87"/>
      <c r="J70" s="8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</row>
    <row r="71" spans="1:85" s="12" customFormat="1" x14ac:dyDescent="0.2">
      <c r="A71" s="52" t="s">
        <v>4</v>
      </c>
      <c r="B71" s="54"/>
      <c r="C71" s="55"/>
      <c r="D71" s="89"/>
      <c r="E71" s="90"/>
      <c r="F71" s="90"/>
      <c r="G71" s="90"/>
      <c r="H71" s="90"/>
      <c r="I71" s="90"/>
      <c r="J71" s="91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</row>
    <row r="72" spans="1:85" s="12" customFormat="1" x14ac:dyDescent="0.2">
      <c r="A72" s="112" t="s">
        <v>5</v>
      </c>
      <c r="B72" s="113"/>
      <c r="C72" s="116" t="s">
        <v>89</v>
      </c>
      <c r="D72" s="116" t="s">
        <v>9</v>
      </c>
      <c r="E72" s="116" t="s">
        <v>16</v>
      </c>
      <c r="F72" s="116" t="s">
        <v>11</v>
      </c>
      <c r="G72" s="116" t="s">
        <v>10</v>
      </c>
      <c r="H72" s="116" t="s">
        <v>22</v>
      </c>
      <c r="I72" s="120" t="s">
        <v>23</v>
      </c>
      <c r="J72" s="122" t="s">
        <v>6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</row>
    <row r="73" spans="1:85" s="12" customFormat="1" x14ac:dyDescent="0.2">
      <c r="A73" s="114"/>
      <c r="B73" s="115"/>
      <c r="C73" s="117"/>
      <c r="D73" s="117"/>
      <c r="E73" s="117"/>
      <c r="F73" s="117"/>
      <c r="G73" s="117"/>
      <c r="H73" s="117"/>
      <c r="I73" s="121"/>
      <c r="J73" s="12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</row>
    <row r="74" spans="1:85" s="12" customFormat="1" x14ac:dyDescent="0.2">
      <c r="A74" s="101" t="str">
        <f t="shared" ref="A74:A82" si="8">A59</f>
        <v>RUA BRUNO AVELINO</v>
      </c>
      <c r="B74" s="102"/>
      <c r="C74" s="1"/>
      <c r="D74" s="2">
        <f t="shared" ref="D74:G82" si="9">D59</f>
        <v>243.63</v>
      </c>
      <c r="E74" s="2">
        <f t="shared" si="9"/>
        <v>4.3</v>
      </c>
      <c r="F74" s="2">
        <f t="shared" si="9"/>
        <v>0.15</v>
      </c>
      <c r="G74" s="2">
        <f t="shared" si="9"/>
        <v>1</v>
      </c>
      <c r="H74" s="80">
        <v>8</v>
      </c>
      <c r="I74" s="4">
        <f>ROUND(D74*E74*F74*G74*H74,2)</f>
        <v>1257.1300000000001</v>
      </c>
      <c r="J74" s="122" t="s">
        <v>21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</row>
    <row r="75" spans="1:85" s="12" customFormat="1" x14ac:dyDescent="0.2">
      <c r="A75" s="101" t="str">
        <f t="shared" si="8"/>
        <v>AVENIDA JOSE DUARTE</v>
      </c>
      <c r="B75" s="102"/>
      <c r="C75" s="1"/>
      <c r="D75" s="2">
        <f t="shared" si="9"/>
        <v>54.73</v>
      </c>
      <c r="E75" s="2">
        <f t="shared" si="9"/>
        <v>13.200000000000001</v>
      </c>
      <c r="F75" s="2">
        <f t="shared" si="9"/>
        <v>0.15</v>
      </c>
      <c r="G75" s="2">
        <f t="shared" si="9"/>
        <v>1</v>
      </c>
      <c r="H75" s="80">
        <v>8</v>
      </c>
      <c r="I75" s="4">
        <f t="shared" ref="I75:I82" si="10">ROUND(D75*E75*F75*G75*H75,2)</f>
        <v>866.92</v>
      </c>
      <c r="J75" s="12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</row>
    <row r="76" spans="1:85" s="12" customFormat="1" x14ac:dyDescent="0.2">
      <c r="A76" s="101" t="str">
        <f t="shared" si="8"/>
        <v>RUA A</v>
      </c>
      <c r="B76" s="102"/>
      <c r="C76" s="1"/>
      <c r="D76" s="2">
        <f t="shared" si="9"/>
        <v>135.57</v>
      </c>
      <c r="E76" s="2">
        <f t="shared" si="9"/>
        <v>6.9</v>
      </c>
      <c r="F76" s="2">
        <f t="shared" si="9"/>
        <v>0.15</v>
      </c>
      <c r="G76" s="2">
        <f t="shared" si="9"/>
        <v>1</v>
      </c>
      <c r="H76" s="80">
        <v>8</v>
      </c>
      <c r="I76" s="4">
        <f t="shared" si="10"/>
        <v>1122.52</v>
      </c>
      <c r="J76" s="12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</row>
    <row r="77" spans="1:85" s="12" customFormat="1" x14ac:dyDescent="0.2">
      <c r="A77" s="101" t="str">
        <f t="shared" si="8"/>
        <v xml:space="preserve">RUA JUSTINO DUARTE TRECHO </v>
      </c>
      <c r="B77" s="102"/>
      <c r="C77" s="1"/>
      <c r="D77" s="2">
        <f t="shared" si="9"/>
        <v>112.76</v>
      </c>
      <c r="E77" s="2">
        <f t="shared" si="9"/>
        <v>6.9</v>
      </c>
      <c r="F77" s="2">
        <f t="shared" si="9"/>
        <v>0.15</v>
      </c>
      <c r="G77" s="2">
        <f t="shared" si="9"/>
        <v>1</v>
      </c>
      <c r="H77" s="80">
        <v>8</v>
      </c>
      <c r="I77" s="4">
        <f t="shared" si="10"/>
        <v>933.65</v>
      </c>
      <c r="J77" s="124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</row>
    <row r="78" spans="1:85" s="12" customFormat="1" x14ac:dyDescent="0.2">
      <c r="A78" s="101" t="str">
        <f t="shared" si="8"/>
        <v xml:space="preserve">RUA E </v>
      </c>
      <c r="B78" s="102"/>
      <c r="C78" s="1"/>
      <c r="D78" s="2">
        <f t="shared" si="9"/>
        <v>72.760000000000005</v>
      </c>
      <c r="E78" s="2">
        <f t="shared" si="9"/>
        <v>6.9</v>
      </c>
      <c r="F78" s="2">
        <f t="shared" si="9"/>
        <v>0.15</v>
      </c>
      <c r="G78" s="2">
        <f t="shared" si="9"/>
        <v>1</v>
      </c>
      <c r="H78" s="80">
        <v>8</v>
      </c>
      <c r="I78" s="4">
        <f t="shared" si="10"/>
        <v>602.45000000000005</v>
      </c>
      <c r="J78" s="124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</row>
    <row r="79" spans="1:85" s="12" customFormat="1" x14ac:dyDescent="0.2">
      <c r="A79" s="101" t="str">
        <f t="shared" si="8"/>
        <v>AVENIDA MONTES CLAROS</v>
      </c>
      <c r="B79" s="102"/>
      <c r="C79" s="1"/>
      <c r="D79" s="2">
        <f t="shared" si="9"/>
        <v>18.96</v>
      </c>
      <c r="E79" s="2">
        <f t="shared" si="9"/>
        <v>8.3000000000000007</v>
      </c>
      <c r="F79" s="2">
        <f t="shared" si="9"/>
        <v>0.15</v>
      </c>
      <c r="G79" s="2">
        <f t="shared" si="9"/>
        <v>1</v>
      </c>
      <c r="H79" s="80">
        <v>8</v>
      </c>
      <c r="I79" s="4">
        <f t="shared" si="10"/>
        <v>188.84</v>
      </c>
      <c r="J79" s="124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</row>
    <row r="80" spans="1:85" s="12" customFormat="1" x14ac:dyDescent="0.2">
      <c r="A80" s="101" t="str">
        <f t="shared" si="8"/>
        <v>RUA PEDRO DUARTE</v>
      </c>
      <c r="B80" s="102"/>
      <c r="C80" s="1"/>
      <c r="D80" s="2">
        <f t="shared" si="9"/>
        <v>18.46</v>
      </c>
      <c r="E80" s="2">
        <f t="shared" si="9"/>
        <v>7.2</v>
      </c>
      <c r="F80" s="2">
        <f t="shared" si="9"/>
        <v>0.15</v>
      </c>
      <c r="G80" s="2">
        <f t="shared" si="9"/>
        <v>1</v>
      </c>
      <c r="H80" s="80">
        <v>8</v>
      </c>
      <c r="I80" s="4">
        <f t="shared" si="10"/>
        <v>159.49</v>
      </c>
      <c r="J80" s="124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</row>
    <row r="81" spans="1:85" s="12" customFormat="1" x14ac:dyDescent="0.2">
      <c r="A81" s="101" t="str">
        <f t="shared" si="8"/>
        <v xml:space="preserve">RUA B </v>
      </c>
      <c r="B81" s="102"/>
      <c r="C81" s="57"/>
      <c r="D81" s="2">
        <f t="shared" si="9"/>
        <v>104.41</v>
      </c>
      <c r="E81" s="2">
        <f t="shared" si="9"/>
        <v>6.9</v>
      </c>
      <c r="F81" s="2">
        <f t="shared" si="9"/>
        <v>0.15</v>
      </c>
      <c r="G81" s="2">
        <f t="shared" si="9"/>
        <v>1</v>
      </c>
      <c r="H81" s="80">
        <v>8</v>
      </c>
      <c r="I81" s="4">
        <f t="shared" si="10"/>
        <v>864.51</v>
      </c>
      <c r="J81" s="12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</row>
    <row r="82" spans="1:85" s="12" customFormat="1" x14ac:dyDescent="0.2">
      <c r="A82" s="101" t="str">
        <f t="shared" si="8"/>
        <v>RUA EUGENIO DOS SANTOS</v>
      </c>
      <c r="B82" s="102"/>
      <c r="C82" s="57"/>
      <c r="D82" s="2">
        <f t="shared" si="9"/>
        <v>104.45</v>
      </c>
      <c r="E82" s="2">
        <f t="shared" si="9"/>
        <v>8.6999999999999993</v>
      </c>
      <c r="F82" s="2">
        <f t="shared" si="9"/>
        <v>0.15</v>
      </c>
      <c r="G82" s="2">
        <f t="shared" si="9"/>
        <v>1</v>
      </c>
      <c r="H82" s="80">
        <v>8</v>
      </c>
      <c r="I82" s="4">
        <f t="shared" si="10"/>
        <v>1090.46</v>
      </c>
      <c r="J82" s="12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</row>
    <row r="83" spans="1:85" s="12" customFormat="1" x14ac:dyDescent="0.2">
      <c r="A83" s="106" t="s">
        <v>7</v>
      </c>
      <c r="B83" s="107"/>
      <c r="C83" s="107"/>
      <c r="D83" s="107"/>
      <c r="E83" s="107"/>
      <c r="F83" s="107"/>
      <c r="G83" s="107"/>
      <c r="H83" s="108"/>
      <c r="I83" s="56">
        <f>ROUND(SUM(I74:I82),2)</f>
        <v>7085.97</v>
      </c>
      <c r="J83" s="123"/>
      <c r="K83" s="28"/>
      <c r="L83" s="33">
        <v>1.9</v>
      </c>
      <c r="M83" s="3">
        <f>ROUND(I83*L83,2)</f>
        <v>13463.34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</row>
    <row r="84" spans="1:85" s="12" customFormat="1" x14ac:dyDescent="0.2">
      <c r="A84" s="11"/>
      <c r="J84" s="1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</row>
    <row r="85" spans="1:85" s="12" customFormat="1" ht="12" customHeight="1" x14ac:dyDescent="0.2">
      <c r="A85" s="52" t="s">
        <v>3</v>
      </c>
      <c r="B85" s="53"/>
      <c r="C85" s="51"/>
      <c r="D85" s="86" t="s">
        <v>106</v>
      </c>
      <c r="E85" s="87"/>
      <c r="F85" s="87"/>
      <c r="G85" s="87"/>
      <c r="H85" s="87"/>
      <c r="I85" s="87"/>
      <c r="J85" s="8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</row>
    <row r="86" spans="1:85" s="12" customFormat="1" x14ac:dyDescent="0.2">
      <c r="A86" s="52" t="s">
        <v>4</v>
      </c>
      <c r="B86" s="54"/>
      <c r="C86" s="55"/>
      <c r="D86" s="89"/>
      <c r="E86" s="90"/>
      <c r="F86" s="90"/>
      <c r="G86" s="90"/>
      <c r="H86" s="90"/>
      <c r="I86" s="90"/>
      <c r="J86" s="91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</row>
    <row r="87" spans="1:85" s="12" customFormat="1" x14ac:dyDescent="0.2">
      <c r="A87" s="112" t="s">
        <v>5</v>
      </c>
      <c r="B87" s="113"/>
      <c r="C87" s="116" t="s">
        <v>89</v>
      </c>
      <c r="D87" s="116" t="s">
        <v>9</v>
      </c>
      <c r="E87" s="116" t="s">
        <v>16</v>
      </c>
      <c r="F87" s="116" t="s">
        <v>11</v>
      </c>
      <c r="G87" s="116" t="s">
        <v>10</v>
      </c>
      <c r="H87" s="118"/>
      <c r="I87" s="120" t="s">
        <v>12</v>
      </c>
      <c r="J87" s="122" t="s">
        <v>6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</row>
    <row r="88" spans="1:85" s="12" customFormat="1" x14ac:dyDescent="0.2">
      <c r="A88" s="114"/>
      <c r="B88" s="115"/>
      <c r="C88" s="117"/>
      <c r="D88" s="117"/>
      <c r="E88" s="117"/>
      <c r="F88" s="117"/>
      <c r="G88" s="117"/>
      <c r="H88" s="119"/>
      <c r="I88" s="121"/>
      <c r="J88" s="12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</row>
    <row r="89" spans="1:85" s="12" customFormat="1" x14ac:dyDescent="0.2">
      <c r="A89" s="101" t="str">
        <f t="shared" ref="A89:A97" si="11">A74</f>
        <v>RUA BRUNO AVELINO</v>
      </c>
      <c r="B89" s="102"/>
      <c r="C89" s="1"/>
      <c r="D89" s="2">
        <f t="shared" ref="D89:G97" si="12">D74</f>
        <v>243.63</v>
      </c>
      <c r="E89" s="2">
        <f t="shared" si="12"/>
        <v>4.3</v>
      </c>
      <c r="F89" s="2">
        <f t="shared" si="12"/>
        <v>0.15</v>
      </c>
      <c r="G89" s="2">
        <f t="shared" si="12"/>
        <v>1</v>
      </c>
      <c r="H89" s="46"/>
      <c r="I89" s="4">
        <f>ROUND(D89*E89*F89*G89,2)</f>
        <v>157.13999999999999</v>
      </c>
      <c r="J89" s="122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</row>
    <row r="90" spans="1:85" s="12" customFormat="1" x14ac:dyDescent="0.2">
      <c r="A90" s="101" t="str">
        <f t="shared" si="11"/>
        <v>AVENIDA JOSE DUARTE</v>
      </c>
      <c r="B90" s="102"/>
      <c r="C90" s="1"/>
      <c r="D90" s="2">
        <f t="shared" si="12"/>
        <v>54.73</v>
      </c>
      <c r="E90" s="2">
        <f t="shared" si="12"/>
        <v>13.200000000000001</v>
      </c>
      <c r="F90" s="2">
        <f t="shared" si="12"/>
        <v>0.15</v>
      </c>
      <c r="G90" s="2">
        <f t="shared" si="12"/>
        <v>1</v>
      </c>
      <c r="H90" s="46"/>
      <c r="I90" s="4">
        <f t="shared" ref="I90:I97" si="13">ROUND(D90*E90*F90*G90,2)</f>
        <v>108.37</v>
      </c>
      <c r="J90" s="12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</row>
    <row r="91" spans="1:85" s="12" customFormat="1" x14ac:dyDescent="0.2">
      <c r="A91" s="101" t="str">
        <f t="shared" si="11"/>
        <v>RUA A</v>
      </c>
      <c r="B91" s="102"/>
      <c r="C91" s="1"/>
      <c r="D91" s="2">
        <f t="shared" si="12"/>
        <v>135.57</v>
      </c>
      <c r="E91" s="2">
        <f t="shared" si="12"/>
        <v>6.9</v>
      </c>
      <c r="F91" s="2">
        <f t="shared" si="12"/>
        <v>0.15</v>
      </c>
      <c r="G91" s="2">
        <f t="shared" si="12"/>
        <v>1</v>
      </c>
      <c r="H91" s="46"/>
      <c r="I91" s="4">
        <f t="shared" si="13"/>
        <v>140.31</v>
      </c>
      <c r="J91" s="12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</row>
    <row r="92" spans="1:85" s="12" customFormat="1" x14ac:dyDescent="0.2">
      <c r="A92" s="101" t="str">
        <f t="shared" si="11"/>
        <v xml:space="preserve">RUA JUSTINO DUARTE TRECHO </v>
      </c>
      <c r="B92" s="102"/>
      <c r="C92" s="1"/>
      <c r="D92" s="2">
        <f t="shared" si="12"/>
        <v>112.76</v>
      </c>
      <c r="E92" s="2">
        <f t="shared" si="12"/>
        <v>6.9</v>
      </c>
      <c r="F92" s="2">
        <f t="shared" si="12"/>
        <v>0.15</v>
      </c>
      <c r="G92" s="2">
        <f t="shared" si="12"/>
        <v>1</v>
      </c>
      <c r="H92" s="46"/>
      <c r="I92" s="4">
        <f t="shared" si="13"/>
        <v>116.71</v>
      </c>
      <c r="J92" s="12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</row>
    <row r="93" spans="1:85" s="12" customFormat="1" x14ac:dyDescent="0.2">
      <c r="A93" s="101" t="str">
        <f t="shared" si="11"/>
        <v xml:space="preserve">RUA E </v>
      </c>
      <c r="B93" s="102"/>
      <c r="C93" s="1"/>
      <c r="D93" s="2">
        <f t="shared" si="12"/>
        <v>72.760000000000005</v>
      </c>
      <c r="E93" s="2">
        <f t="shared" si="12"/>
        <v>6.9</v>
      </c>
      <c r="F93" s="2">
        <f t="shared" si="12"/>
        <v>0.15</v>
      </c>
      <c r="G93" s="2">
        <f t="shared" si="12"/>
        <v>1</v>
      </c>
      <c r="H93" s="46"/>
      <c r="I93" s="4">
        <f t="shared" si="13"/>
        <v>75.31</v>
      </c>
      <c r="J93" s="12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</row>
    <row r="94" spans="1:85" s="12" customFormat="1" x14ac:dyDescent="0.2">
      <c r="A94" s="101" t="str">
        <f t="shared" si="11"/>
        <v>AVENIDA MONTES CLAROS</v>
      </c>
      <c r="B94" s="102"/>
      <c r="C94" s="1"/>
      <c r="D94" s="2">
        <f t="shared" si="12"/>
        <v>18.96</v>
      </c>
      <c r="E94" s="2">
        <f t="shared" si="12"/>
        <v>8.3000000000000007</v>
      </c>
      <c r="F94" s="2">
        <f t="shared" si="12"/>
        <v>0.15</v>
      </c>
      <c r="G94" s="2">
        <f t="shared" si="12"/>
        <v>1</v>
      </c>
      <c r="H94" s="46"/>
      <c r="I94" s="4">
        <f t="shared" si="13"/>
        <v>23.61</v>
      </c>
      <c r="J94" s="12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</row>
    <row r="95" spans="1:85" s="12" customFormat="1" x14ac:dyDescent="0.2">
      <c r="A95" s="101" t="str">
        <f t="shared" si="11"/>
        <v>RUA PEDRO DUARTE</v>
      </c>
      <c r="B95" s="102"/>
      <c r="C95" s="1"/>
      <c r="D95" s="2">
        <f t="shared" si="12"/>
        <v>18.46</v>
      </c>
      <c r="E95" s="2">
        <f t="shared" si="12"/>
        <v>7.2</v>
      </c>
      <c r="F95" s="2">
        <f t="shared" si="12"/>
        <v>0.15</v>
      </c>
      <c r="G95" s="2">
        <f t="shared" si="12"/>
        <v>1</v>
      </c>
      <c r="H95" s="46"/>
      <c r="I95" s="4">
        <f t="shared" si="13"/>
        <v>19.940000000000001</v>
      </c>
      <c r="J95" s="12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</row>
    <row r="96" spans="1:85" s="12" customFormat="1" x14ac:dyDescent="0.2">
      <c r="A96" s="101" t="str">
        <f t="shared" si="11"/>
        <v xml:space="preserve">RUA B </v>
      </c>
      <c r="B96" s="102"/>
      <c r="C96" s="57"/>
      <c r="D96" s="2">
        <f t="shared" si="12"/>
        <v>104.41</v>
      </c>
      <c r="E96" s="2">
        <f t="shared" si="12"/>
        <v>6.9</v>
      </c>
      <c r="F96" s="2">
        <f t="shared" si="12"/>
        <v>0.15</v>
      </c>
      <c r="G96" s="2">
        <f t="shared" si="12"/>
        <v>1</v>
      </c>
      <c r="H96" s="58"/>
      <c r="I96" s="4">
        <f t="shared" si="13"/>
        <v>108.06</v>
      </c>
      <c r="J96" s="12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</row>
    <row r="97" spans="1:85" s="12" customFormat="1" x14ac:dyDescent="0.2">
      <c r="A97" s="101" t="str">
        <f t="shared" si="11"/>
        <v>RUA EUGENIO DOS SANTOS</v>
      </c>
      <c r="B97" s="102"/>
      <c r="C97" s="57"/>
      <c r="D97" s="2">
        <f t="shared" si="12"/>
        <v>104.45</v>
      </c>
      <c r="E97" s="2">
        <f t="shared" si="12"/>
        <v>8.6999999999999993</v>
      </c>
      <c r="F97" s="2">
        <f t="shared" si="12"/>
        <v>0.15</v>
      </c>
      <c r="G97" s="2">
        <f t="shared" si="12"/>
        <v>1</v>
      </c>
      <c r="H97" s="58"/>
      <c r="I97" s="4">
        <f t="shared" si="13"/>
        <v>136.31</v>
      </c>
      <c r="J97" s="12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</row>
    <row r="98" spans="1:85" s="12" customFormat="1" x14ac:dyDescent="0.2">
      <c r="A98" s="106" t="s">
        <v>7</v>
      </c>
      <c r="B98" s="107"/>
      <c r="C98" s="107"/>
      <c r="D98" s="107"/>
      <c r="E98" s="107"/>
      <c r="F98" s="107"/>
      <c r="G98" s="107"/>
      <c r="H98" s="108"/>
      <c r="I98" s="56">
        <f>ROUND(SUM(I89:I97),2)</f>
        <v>885.76</v>
      </c>
      <c r="J98" s="123"/>
      <c r="K98" s="28"/>
      <c r="L98" s="33">
        <v>1.75</v>
      </c>
      <c r="M98" s="3">
        <f>ROUND(I98*L98,2)</f>
        <v>1550.08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</row>
    <row r="99" spans="1:85" s="12" customFormat="1" x14ac:dyDescent="0.2">
      <c r="A99" s="11"/>
      <c r="J99" s="1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</row>
    <row r="100" spans="1:85" s="12" customFormat="1" ht="12" customHeight="1" x14ac:dyDescent="0.2">
      <c r="A100" s="52" t="s">
        <v>3</v>
      </c>
      <c r="B100" s="53"/>
      <c r="C100" s="51"/>
      <c r="D100" s="86" t="s">
        <v>107</v>
      </c>
      <c r="E100" s="87"/>
      <c r="F100" s="87"/>
      <c r="G100" s="87"/>
      <c r="H100" s="87"/>
      <c r="I100" s="87"/>
      <c r="J100" s="8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</row>
    <row r="101" spans="1:85" s="12" customFormat="1" x14ac:dyDescent="0.2">
      <c r="A101" s="52" t="s">
        <v>4</v>
      </c>
      <c r="B101" s="54"/>
      <c r="C101" s="55"/>
      <c r="D101" s="89"/>
      <c r="E101" s="90"/>
      <c r="F101" s="90"/>
      <c r="G101" s="90"/>
      <c r="H101" s="90"/>
      <c r="I101" s="90"/>
      <c r="J101" s="91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</row>
    <row r="102" spans="1:85" s="12" customFormat="1" x14ac:dyDescent="0.2">
      <c r="A102" s="112" t="s">
        <v>5</v>
      </c>
      <c r="B102" s="113"/>
      <c r="C102" s="116" t="s">
        <v>89</v>
      </c>
      <c r="D102" s="116" t="s">
        <v>9</v>
      </c>
      <c r="E102" s="116" t="s">
        <v>16</v>
      </c>
      <c r="F102" s="116"/>
      <c r="G102" s="116" t="s">
        <v>10</v>
      </c>
      <c r="H102" s="118"/>
      <c r="I102" s="120" t="s">
        <v>24</v>
      </c>
      <c r="J102" s="122" t="s">
        <v>6</v>
      </c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</row>
    <row r="103" spans="1:85" s="12" customFormat="1" x14ac:dyDescent="0.2">
      <c r="A103" s="114"/>
      <c r="B103" s="115"/>
      <c r="C103" s="117"/>
      <c r="D103" s="117"/>
      <c r="E103" s="117"/>
      <c r="F103" s="117"/>
      <c r="G103" s="117"/>
      <c r="H103" s="119"/>
      <c r="I103" s="121"/>
      <c r="J103" s="12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</row>
    <row r="104" spans="1:85" s="12" customFormat="1" x14ac:dyDescent="0.2">
      <c r="A104" s="101" t="str">
        <f t="shared" ref="A104:A112" si="14">A89</f>
        <v>RUA BRUNO AVELINO</v>
      </c>
      <c r="B104" s="102"/>
      <c r="C104" s="1"/>
      <c r="D104" s="2">
        <f t="shared" ref="D104:E112" si="15">D89</f>
        <v>243.63</v>
      </c>
      <c r="E104" s="2">
        <f t="shared" si="15"/>
        <v>4.3</v>
      </c>
      <c r="F104" s="7"/>
      <c r="G104" s="2">
        <v>1</v>
      </c>
      <c r="H104" s="46"/>
      <c r="I104" s="4">
        <f>ROUND(D104*E104*G104,2)</f>
        <v>1047.6099999999999</v>
      </c>
      <c r="J104" s="122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</row>
    <row r="105" spans="1:85" s="12" customFormat="1" x14ac:dyDescent="0.2">
      <c r="A105" s="101" t="str">
        <f t="shared" si="14"/>
        <v>AVENIDA JOSE DUARTE</v>
      </c>
      <c r="B105" s="102"/>
      <c r="C105" s="1"/>
      <c r="D105" s="2">
        <f t="shared" si="15"/>
        <v>54.73</v>
      </c>
      <c r="E105" s="2">
        <f t="shared" si="15"/>
        <v>13.200000000000001</v>
      </c>
      <c r="F105" s="7"/>
      <c r="G105" s="2">
        <v>1</v>
      </c>
      <c r="H105" s="46"/>
      <c r="I105" s="4">
        <f t="shared" ref="I105:I112" si="16">ROUND(D105*E105*G105,2)</f>
        <v>722.44</v>
      </c>
      <c r="J105" s="12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</row>
    <row r="106" spans="1:85" s="12" customFormat="1" x14ac:dyDescent="0.2">
      <c r="A106" s="101" t="str">
        <f t="shared" si="14"/>
        <v>RUA A</v>
      </c>
      <c r="B106" s="102"/>
      <c r="C106" s="1"/>
      <c r="D106" s="2">
        <f t="shared" si="15"/>
        <v>135.57</v>
      </c>
      <c r="E106" s="2">
        <f t="shared" si="15"/>
        <v>6.9</v>
      </c>
      <c r="F106" s="7"/>
      <c r="G106" s="2">
        <v>1</v>
      </c>
      <c r="H106" s="46"/>
      <c r="I106" s="4">
        <f t="shared" si="16"/>
        <v>935.43</v>
      </c>
      <c r="J106" s="12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</row>
    <row r="107" spans="1:85" s="12" customFormat="1" x14ac:dyDescent="0.2">
      <c r="A107" s="101" t="str">
        <f t="shared" si="14"/>
        <v xml:space="preserve">RUA JUSTINO DUARTE TRECHO </v>
      </c>
      <c r="B107" s="102"/>
      <c r="C107" s="1"/>
      <c r="D107" s="2">
        <f t="shared" si="15"/>
        <v>112.76</v>
      </c>
      <c r="E107" s="2">
        <f t="shared" si="15"/>
        <v>6.9</v>
      </c>
      <c r="F107" s="7"/>
      <c r="G107" s="2">
        <v>1</v>
      </c>
      <c r="H107" s="46"/>
      <c r="I107" s="4">
        <f t="shared" si="16"/>
        <v>778.04</v>
      </c>
      <c r="J107" s="12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</row>
    <row r="108" spans="1:85" s="12" customFormat="1" x14ac:dyDescent="0.2">
      <c r="A108" s="101" t="str">
        <f t="shared" si="14"/>
        <v xml:space="preserve">RUA E </v>
      </c>
      <c r="B108" s="102"/>
      <c r="C108" s="1"/>
      <c r="D108" s="2">
        <f t="shared" si="15"/>
        <v>72.760000000000005</v>
      </c>
      <c r="E108" s="2">
        <f t="shared" si="15"/>
        <v>6.9</v>
      </c>
      <c r="F108" s="7"/>
      <c r="G108" s="2">
        <v>1</v>
      </c>
      <c r="H108" s="46"/>
      <c r="I108" s="4">
        <f t="shared" si="16"/>
        <v>502.04</v>
      </c>
      <c r="J108" s="12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</row>
    <row r="109" spans="1:85" s="12" customFormat="1" x14ac:dyDescent="0.2">
      <c r="A109" s="101" t="str">
        <f t="shared" si="14"/>
        <v>AVENIDA MONTES CLAROS</v>
      </c>
      <c r="B109" s="102"/>
      <c r="C109" s="1"/>
      <c r="D109" s="2">
        <f t="shared" si="15"/>
        <v>18.96</v>
      </c>
      <c r="E109" s="2">
        <f t="shared" si="15"/>
        <v>8.3000000000000007</v>
      </c>
      <c r="F109" s="7"/>
      <c r="G109" s="2">
        <v>1</v>
      </c>
      <c r="H109" s="46"/>
      <c r="I109" s="4">
        <f t="shared" si="16"/>
        <v>157.37</v>
      </c>
      <c r="J109" s="12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</row>
    <row r="110" spans="1:85" s="12" customFormat="1" x14ac:dyDescent="0.2">
      <c r="A110" s="101" t="str">
        <f t="shared" si="14"/>
        <v>RUA PEDRO DUARTE</v>
      </c>
      <c r="B110" s="102"/>
      <c r="C110" s="1"/>
      <c r="D110" s="2">
        <f t="shared" si="15"/>
        <v>18.46</v>
      </c>
      <c r="E110" s="2">
        <f t="shared" si="15"/>
        <v>7.2</v>
      </c>
      <c r="F110" s="7"/>
      <c r="G110" s="2">
        <v>1</v>
      </c>
      <c r="H110" s="46"/>
      <c r="I110" s="4">
        <f t="shared" si="16"/>
        <v>132.91</v>
      </c>
      <c r="J110" s="12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</row>
    <row r="111" spans="1:85" s="12" customFormat="1" x14ac:dyDescent="0.2">
      <c r="A111" s="101" t="str">
        <f t="shared" si="14"/>
        <v xml:space="preserve">RUA B </v>
      </c>
      <c r="B111" s="102"/>
      <c r="C111" s="57"/>
      <c r="D111" s="2">
        <f t="shared" si="15"/>
        <v>104.41</v>
      </c>
      <c r="E111" s="2">
        <f t="shared" si="15"/>
        <v>6.9</v>
      </c>
      <c r="F111" s="60"/>
      <c r="G111" s="2">
        <v>1</v>
      </c>
      <c r="H111" s="58"/>
      <c r="I111" s="4">
        <f t="shared" si="16"/>
        <v>720.43</v>
      </c>
      <c r="J111" s="12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</row>
    <row r="112" spans="1:85" s="12" customFormat="1" x14ac:dyDescent="0.2">
      <c r="A112" s="101" t="str">
        <f t="shared" si="14"/>
        <v>RUA EUGENIO DOS SANTOS</v>
      </c>
      <c r="B112" s="102"/>
      <c r="C112" s="57"/>
      <c r="D112" s="2">
        <f t="shared" si="15"/>
        <v>104.45</v>
      </c>
      <c r="E112" s="2">
        <f t="shared" si="15"/>
        <v>8.6999999999999993</v>
      </c>
      <c r="F112" s="60"/>
      <c r="G112" s="2">
        <v>1</v>
      </c>
      <c r="H112" s="58"/>
      <c r="I112" s="4">
        <f t="shared" si="16"/>
        <v>908.72</v>
      </c>
      <c r="J112" s="12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</row>
    <row r="113" spans="1:85" s="12" customFormat="1" x14ac:dyDescent="0.2">
      <c r="A113" s="106" t="s">
        <v>7</v>
      </c>
      <c r="B113" s="107"/>
      <c r="C113" s="107"/>
      <c r="D113" s="107"/>
      <c r="E113" s="107"/>
      <c r="F113" s="107"/>
      <c r="G113" s="107"/>
      <c r="H113" s="108"/>
      <c r="I113" s="56">
        <f>ROUND(SUM(I104:I112),2)</f>
        <v>5904.99</v>
      </c>
      <c r="J113" s="123"/>
      <c r="K113" s="28"/>
      <c r="L113" s="33">
        <v>2.85</v>
      </c>
      <c r="M113" s="3">
        <f>ROUND(I113*L113,2)</f>
        <v>16829.22</v>
      </c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</row>
    <row r="114" spans="1:85" s="12" customFormat="1" x14ac:dyDescent="0.2">
      <c r="A114" s="11"/>
      <c r="J114" s="13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</row>
    <row r="115" spans="1:85" s="12" customFormat="1" ht="17.25" customHeight="1" x14ac:dyDescent="0.2">
      <c r="A115" s="52" t="s">
        <v>3</v>
      </c>
      <c r="B115" s="53"/>
      <c r="C115" s="51"/>
      <c r="D115" s="86" t="s">
        <v>108</v>
      </c>
      <c r="E115" s="87"/>
      <c r="F115" s="87"/>
      <c r="G115" s="87"/>
      <c r="H115" s="87"/>
      <c r="I115" s="87"/>
      <c r="J115" s="8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</row>
    <row r="116" spans="1:85" s="12" customFormat="1" ht="21" customHeight="1" x14ac:dyDescent="0.2">
      <c r="A116" s="52" t="s">
        <v>4</v>
      </c>
      <c r="B116" s="54"/>
      <c r="C116" s="55"/>
      <c r="D116" s="89"/>
      <c r="E116" s="90"/>
      <c r="F116" s="90"/>
      <c r="G116" s="90"/>
      <c r="H116" s="90"/>
      <c r="I116" s="90"/>
      <c r="J116" s="91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</row>
    <row r="117" spans="1:85" s="12" customFormat="1" x14ac:dyDescent="0.2">
      <c r="A117" s="112" t="s">
        <v>5</v>
      </c>
      <c r="B117" s="113"/>
      <c r="C117" s="116" t="s">
        <v>89</v>
      </c>
      <c r="D117" s="116" t="s">
        <v>9</v>
      </c>
      <c r="E117" s="116" t="s">
        <v>16</v>
      </c>
      <c r="F117" s="116" t="s">
        <v>11</v>
      </c>
      <c r="G117" s="116" t="s">
        <v>10</v>
      </c>
      <c r="H117" s="118"/>
      <c r="I117" s="120" t="s">
        <v>40</v>
      </c>
      <c r="J117" s="122" t="s">
        <v>6</v>
      </c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</row>
    <row r="118" spans="1:85" s="12" customFormat="1" x14ac:dyDescent="0.2">
      <c r="A118" s="114"/>
      <c r="B118" s="115"/>
      <c r="C118" s="117"/>
      <c r="D118" s="117"/>
      <c r="E118" s="117"/>
      <c r="F118" s="117"/>
      <c r="G118" s="117"/>
      <c r="H118" s="119"/>
      <c r="I118" s="121"/>
      <c r="J118" s="123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</row>
    <row r="119" spans="1:85" s="12" customFormat="1" x14ac:dyDescent="0.2">
      <c r="A119" s="101" t="str">
        <f t="shared" ref="A119:A127" si="17">A104</f>
        <v>RUA BRUNO AVELINO</v>
      </c>
      <c r="B119" s="102"/>
      <c r="C119" s="1"/>
      <c r="D119" s="2">
        <f t="shared" ref="D119:G127" si="18">D89</f>
        <v>243.63</v>
      </c>
      <c r="E119" s="2">
        <f t="shared" si="18"/>
        <v>4.3</v>
      </c>
      <c r="F119" s="2">
        <f t="shared" si="18"/>
        <v>0.15</v>
      </c>
      <c r="G119" s="2">
        <f t="shared" si="18"/>
        <v>1</v>
      </c>
      <c r="H119" s="46"/>
      <c r="I119" s="4">
        <f>ROUND(D119*E119*G119*F119,2)</f>
        <v>157.13999999999999</v>
      </c>
      <c r="J119" s="122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</row>
    <row r="120" spans="1:85" s="12" customFormat="1" x14ac:dyDescent="0.2">
      <c r="A120" s="101" t="str">
        <f t="shared" si="17"/>
        <v>AVENIDA JOSE DUARTE</v>
      </c>
      <c r="B120" s="102"/>
      <c r="C120" s="1"/>
      <c r="D120" s="2">
        <f t="shared" si="18"/>
        <v>54.73</v>
      </c>
      <c r="E120" s="2">
        <f t="shared" si="18"/>
        <v>13.200000000000001</v>
      </c>
      <c r="F120" s="2">
        <f t="shared" si="18"/>
        <v>0.15</v>
      </c>
      <c r="G120" s="2">
        <f t="shared" si="18"/>
        <v>1</v>
      </c>
      <c r="H120" s="46"/>
      <c r="I120" s="4">
        <f t="shared" ref="I120:I127" si="19">ROUND(D120*E120*G120*F120,2)</f>
        <v>108.37</v>
      </c>
      <c r="J120" s="124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</row>
    <row r="121" spans="1:85" s="12" customFormat="1" x14ac:dyDescent="0.2">
      <c r="A121" s="101" t="str">
        <f t="shared" si="17"/>
        <v>RUA A</v>
      </c>
      <c r="B121" s="102"/>
      <c r="C121" s="1"/>
      <c r="D121" s="2">
        <f t="shared" si="18"/>
        <v>135.57</v>
      </c>
      <c r="E121" s="2">
        <f t="shared" si="18"/>
        <v>6.9</v>
      </c>
      <c r="F121" s="2">
        <f t="shared" si="18"/>
        <v>0.15</v>
      </c>
      <c r="G121" s="2">
        <f t="shared" si="18"/>
        <v>1</v>
      </c>
      <c r="H121" s="46"/>
      <c r="I121" s="4">
        <f t="shared" si="19"/>
        <v>140.31</v>
      </c>
      <c r="J121" s="124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</row>
    <row r="122" spans="1:85" s="12" customFormat="1" x14ac:dyDescent="0.2">
      <c r="A122" s="101" t="str">
        <f t="shared" si="17"/>
        <v xml:space="preserve">RUA JUSTINO DUARTE TRECHO </v>
      </c>
      <c r="B122" s="102"/>
      <c r="C122" s="1"/>
      <c r="D122" s="2">
        <f t="shared" si="18"/>
        <v>112.76</v>
      </c>
      <c r="E122" s="2">
        <f t="shared" si="18"/>
        <v>6.9</v>
      </c>
      <c r="F122" s="2">
        <f t="shared" si="18"/>
        <v>0.15</v>
      </c>
      <c r="G122" s="2">
        <f t="shared" si="18"/>
        <v>1</v>
      </c>
      <c r="H122" s="46"/>
      <c r="I122" s="4">
        <f t="shared" si="19"/>
        <v>116.71</v>
      </c>
      <c r="J122" s="124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</row>
    <row r="123" spans="1:85" s="12" customFormat="1" x14ac:dyDescent="0.2">
      <c r="A123" s="101" t="str">
        <f t="shared" si="17"/>
        <v xml:space="preserve">RUA E </v>
      </c>
      <c r="B123" s="102"/>
      <c r="C123" s="1"/>
      <c r="D123" s="2">
        <f t="shared" si="18"/>
        <v>72.760000000000005</v>
      </c>
      <c r="E123" s="2">
        <f t="shared" si="18"/>
        <v>6.9</v>
      </c>
      <c r="F123" s="2">
        <f t="shared" si="18"/>
        <v>0.15</v>
      </c>
      <c r="G123" s="2">
        <f t="shared" si="18"/>
        <v>1</v>
      </c>
      <c r="H123" s="46"/>
      <c r="I123" s="4">
        <f t="shared" si="19"/>
        <v>75.31</v>
      </c>
      <c r="J123" s="124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</row>
    <row r="124" spans="1:85" s="12" customFormat="1" x14ac:dyDescent="0.2">
      <c r="A124" s="101" t="str">
        <f t="shared" si="17"/>
        <v>AVENIDA MONTES CLAROS</v>
      </c>
      <c r="B124" s="102"/>
      <c r="C124" s="1"/>
      <c r="D124" s="2">
        <f t="shared" si="18"/>
        <v>18.96</v>
      </c>
      <c r="E124" s="2">
        <f t="shared" si="18"/>
        <v>8.3000000000000007</v>
      </c>
      <c r="F124" s="2">
        <f t="shared" si="18"/>
        <v>0.15</v>
      </c>
      <c r="G124" s="2">
        <f t="shared" si="18"/>
        <v>1</v>
      </c>
      <c r="H124" s="46"/>
      <c r="I124" s="4">
        <f t="shared" si="19"/>
        <v>23.61</v>
      </c>
      <c r="J124" s="124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</row>
    <row r="125" spans="1:85" s="12" customFormat="1" x14ac:dyDescent="0.2">
      <c r="A125" s="101" t="str">
        <f t="shared" si="17"/>
        <v>RUA PEDRO DUARTE</v>
      </c>
      <c r="B125" s="102"/>
      <c r="C125" s="1"/>
      <c r="D125" s="2">
        <f t="shared" si="18"/>
        <v>18.46</v>
      </c>
      <c r="E125" s="2">
        <f t="shared" si="18"/>
        <v>7.2</v>
      </c>
      <c r="F125" s="2">
        <f t="shared" si="18"/>
        <v>0.15</v>
      </c>
      <c r="G125" s="2">
        <f t="shared" si="18"/>
        <v>1</v>
      </c>
      <c r="H125" s="46"/>
      <c r="I125" s="4">
        <f t="shared" si="19"/>
        <v>19.940000000000001</v>
      </c>
      <c r="J125" s="12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</row>
    <row r="126" spans="1:85" s="12" customFormat="1" x14ac:dyDescent="0.2">
      <c r="A126" s="101" t="str">
        <f t="shared" si="17"/>
        <v xml:space="preserve">RUA B </v>
      </c>
      <c r="B126" s="102"/>
      <c r="C126" s="57"/>
      <c r="D126" s="2">
        <f t="shared" si="18"/>
        <v>104.41</v>
      </c>
      <c r="E126" s="2">
        <f t="shared" si="18"/>
        <v>6.9</v>
      </c>
      <c r="F126" s="2">
        <f t="shared" si="18"/>
        <v>0.15</v>
      </c>
      <c r="G126" s="2">
        <f t="shared" si="18"/>
        <v>1</v>
      </c>
      <c r="H126" s="58"/>
      <c r="I126" s="4">
        <f t="shared" si="19"/>
        <v>108.06</v>
      </c>
      <c r="J126" s="124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</row>
    <row r="127" spans="1:85" s="12" customFormat="1" x14ac:dyDescent="0.2">
      <c r="A127" s="101" t="str">
        <f t="shared" si="17"/>
        <v>RUA EUGENIO DOS SANTOS</v>
      </c>
      <c r="B127" s="102"/>
      <c r="C127" s="57"/>
      <c r="D127" s="2">
        <f t="shared" si="18"/>
        <v>104.45</v>
      </c>
      <c r="E127" s="2">
        <f t="shared" si="18"/>
        <v>8.6999999999999993</v>
      </c>
      <c r="F127" s="2">
        <f t="shared" si="18"/>
        <v>0.15</v>
      </c>
      <c r="G127" s="2">
        <f t="shared" si="18"/>
        <v>1</v>
      </c>
      <c r="H127" s="58"/>
      <c r="I127" s="4">
        <f t="shared" si="19"/>
        <v>136.31</v>
      </c>
      <c r="J127" s="124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</row>
    <row r="128" spans="1:85" s="12" customFormat="1" x14ac:dyDescent="0.2">
      <c r="A128" s="106" t="s">
        <v>7</v>
      </c>
      <c r="B128" s="107"/>
      <c r="C128" s="107"/>
      <c r="D128" s="107"/>
      <c r="E128" s="107"/>
      <c r="F128" s="107"/>
      <c r="G128" s="107"/>
      <c r="H128" s="108"/>
      <c r="I128" s="56">
        <f>ROUND(SUM(I119:I127),2)</f>
        <v>885.76</v>
      </c>
      <c r="J128" s="123"/>
      <c r="K128" s="28"/>
      <c r="L128" s="33">
        <v>51.61</v>
      </c>
      <c r="M128" s="3">
        <f>ROUND(I128*L128,2)</f>
        <v>45714.07</v>
      </c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</row>
    <row r="129" spans="1:85" s="12" customFormat="1" x14ac:dyDescent="0.2">
      <c r="A129" s="11"/>
      <c r="J129" s="13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</row>
    <row r="130" spans="1:85" s="12" customFormat="1" ht="12" customHeight="1" x14ac:dyDescent="0.2">
      <c r="A130" s="52" t="s">
        <v>3</v>
      </c>
      <c r="B130" s="53"/>
      <c r="C130" s="51"/>
      <c r="D130" s="86" t="s">
        <v>109</v>
      </c>
      <c r="E130" s="87"/>
      <c r="F130" s="87"/>
      <c r="G130" s="87"/>
      <c r="H130" s="87"/>
      <c r="I130" s="87"/>
      <c r="J130" s="8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</row>
    <row r="131" spans="1:85" s="12" customFormat="1" x14ac:dyDescent="0.2">
      <c r="A131" s="52" t="s">
        <v>4</v>
      </c>
      <c r="B131" s="54"/>
      <c r="C131" s="55"/>
      <c r="D131" s="89"/>
      <c r="E131" s="90"/>
      <c r="F131" s="90"/>
      <c r="G131" s="90"/>
      <c r="H131" s="90"/>
      <c r="I131" s="90"/>
      <c r="J131" s="91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</row>
    <row r="132" spans="1:85" s="12" customFormat="1" x14ac:dyDescent="0.2">
      <c r="A132" s="112" t="s">
        <v>5</v>
      </c>
      <c r="B132" s="113"/>
      <c r="C132" s="116" t="s">
        <v>89</v>
      </c>
      <c r="D132" s="116" t="s">
        <v>9</v>
      </c>
      <c r="E132" s="116" t="s">
        <v>16</v>
      </c>
      <c r="F132" s="116" t="s">
        <v>11</v>
      </c>
      <c r="G132" s="116" t="s">
        <v>10</v>
      </c>
      <c r="H132" s="118"/>
      <c r="I132" s="120" t="s">
        <v>25</v>
      </c>
      <c r="J132" s="122" t="s">
        <v>6</v>
      </c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</row>
    <row r="133" spans="1:85" s="12" customFormat="1" x14ac:dyDescent="0.2">
      <c r="A133" s="114"/>
      <c r="B133" s="115"/>
      <c r="C133" s="117"/>
      <c r="D133" s="117"/>
      <c r="E133" s="117"/>
      <c r="F133" s="117"/>
      <c r="G133" s="117"/>
      <c r="H133" s="119"/>
      <c r="I133" s="121"/>
      <c r="J133" s="123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</row>
    <row r="134" spans="1:85" s="12" customFormat="1" x14ac:dyDescent="0.2">
      <c r="A134" s="101" t="str">
        <f t="shared" ref="A134:A142" si="20">A119</f>
        <v>RUA BRUNO AVELINO</v>
      </c>
      <c r="B134" s="102"/>
      <c r="C134" s="1"/>
      <c r="D134" s="2">
        <f t="shared" ref="D134:G142" si="21">D119</f>
        <v>243.63</v>
      </c>
      <c r="E134" s="2">
        <f t="shared" si="21"/>
        <v>4.3</v>
      </c>
      <c r="F134" s="2">
        <f t="shared" si="21"/>
        <v>0.15</v>
      </c>
      <c r="G134" s="2">
        <f t="shared" si="21"/>
        <v>1</v>
      </c>
      <c r="H134" s="46"/>
      <c r="I134" s="4">
        <f>ROUND(D134*E134*G134*F134,2)</f>
        <v>157.13999999999999</v>
      </c>
      <c r="J134" s="154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</row>
    <row r="135" spans="1:85" s="12" customFormat="1" x14ac:dyDescent="0.2">
      <c r="A135" s="101" t="str">
        <f t="shared" si="20"/>
        <v>AVENIDA JOSE DUARTE</v>
      </c>
      <c r="B135" s="102"/>
      <c r="C135" s="1"/>
      <c r="D135" s="2">
        <f t="shared" si="21"/>
        <v>54.73</v>
      </c>
      <c r="E135" s="2">
        <f t="shared" si="21"/>
        <v>13.200000000000001</v>
      </c>
      <c r="F135" s="2">
        <f t="shared" si="21"/>
        <v>0.15</v>
      </c>
      <c r="G135" s="2">
        <f t="shared" si="21"/>
        <v>1</v>
      </c>
      <c r="H135" s="46"/>
      <c r="I135" s="4">
        <f t="shared" ref="I135:I142" si="22">ROUND(D135*E135*G135*F135,2)</f>
        <v>108.37</v>
      </c>
      <c r="J135" s="155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</row>
    <row r="136" spans="1:85" s="12" customFormat="1" x14ac:dyDescent="0.2">
      <c r="A136" s="101" t="str">
        <f t="shared" si="20"/>
        <v>RUA A</v>
      </c>
      <c r="B136" s="102"/>
      <c r="C136" s="1"/>
      <c r="D136" s="2">
        <f t="shared" si="21"/>
        <v>135.57</v>
      </c>
      <c r="E136" s="2">
        <f t="shared" si="21"/>
        <v>6.9</v>
      </c>
      <c r="F136" s="2">
        <f t="shared" si="21"/>
        <v>0.15</v>
      </c>
      <c r="G136" s="2">
        <f t="shared" si="21"/>
        <v>1</v>
      </c>
      <c r="H136" s="46"/>
      <c r="I136" s="4">
        <f t="shared" si="22"/>
        <v>140.31</v>
      </c>
      <c r="J136" s="155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</row>
    <row r="137" spans="1:85" s="12" customFormat="1" x14ac:dyDescent="0.2">
      <c r="A137" s="101" t="str">
        <f t="shared" si="20"/>
        <v xml:space="preserve">RUA JUSTINO DUARTE TRECHO </v>
      </c>
      <c r="B137" s="102"/>
      <c r="C137" s="1"/>
      <c r="D137" s="2">
        <f t="shared" si="21"/>
        <v>112.76</v>
      </c>
      <c r="E137" s="2">
        <f t="shared" si="21"/>
        <v>6.9</v>
      </c>
      <c r="F137" s="2">
        <f t="shared" si="21"/>
        <v>0.15</v>
      </c>
      <c r="G137" s="2">
        <f t="shared" si="21"/>
        <v>1</v>
      </c>
      <c r="H137" s="46"/>
      <c r="I137" s="4">
        <f t="shared" si="22"/>
        <v>116.71</v>
      </c>
      <c r="J137" s="155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</row>
    <row r="138" spans="1:85" s="12" customFormat="1" x14ac:dyDescent="0.2">
      <c r="A138" s="101" t="str">
        <f t="shared" si="20"/>
        <v xml:space="preserve">RUA E </v>
      </c>
      <c r="B138" s="102"/>
      <c r="C138" s="1"/>
      <c r="D138" s="2">
        <f t="shared" si="21"/>
        <v>72.760000000000005</v>
      </c>
      <c r="E138" s="2">
        <f t="shared" si="21"/>
        <v>6.9</v>
      </c>
      <c r="F138" s="2">
        <f t="shared" si="21"/>
        <v>0.15</v>
      </c>
      <c r="G138" s="2">
        <f t="shared" si="21"/>
        <v>1</v>
      </c>
      <c r="H138" s="46"/>
      <c r="I138" s="4">
        <f t="shared" si="22"/>
        <v>75.31</v>
      </c>
      <c r="J138" s="155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</row>
    <row r="139" spans="1:85" s="12" customFormat="1" x14ac:dyDescent="0.2">
      <c r="A139" s="101" t="str">
        <f t="shared" si="20"/>
        <v>AVENIDA MONTES CLAROS</v>
      </c>
      <c r="B139" s="102"/>
      <c r="C139" s="1"/>
      <c r="D139" s="2">
        <f t="shared" si="21"/>
        <v>18.96</v>
      </c>
      <c r="E139" s="2">
        <f t="shared" si="21"/>
        <v>8.3000000000000007</v>
      </c>
      <c r="F139" s="2">
        <f t="shared" si="21"/>
        <v>0.15</v>
      </c>
      <c r="G139" s="2">
        <f t="shared" si="21"/>
        <v>1</v>
      </c>
      <c r="H139" s="46"/>
      <c r="I139" s="4">
        <f t="shared" si="22"/>
        <v>23.61</v>
      </c>
      <c r="J139" s="155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</row>
    <row r="140" spans="1:85" s="12" customFormat="1" x14ac:dyDescent="0.2">
      <c r="A140" s="101" t="str">
        <f t="shared" si="20"/>
        <v>RUA PEDRO DUARTE</v>
      </c>
      <c r="B140" s="102"/>
      <c r="C140" s="1"/>
      <c r="D140" s="2">
        <f t="shared" si="21"/>
        <v>18.46</v>
      </c>
      <c r="E140" s="2">
        <f t="shared" si="21"/>
        <v>7.2</v>
      </c>
      <c r="F140" s="2">
        <f t="shared" si="21"/>
        <v>0.15</v>
      </c>
      <c r="G140" s="2">
        <f t="shared" si="21"/>
        <v>1</v>
      </c>
      <c r="H140" s="46"/>
      <c r="I140" s="4">
        <f t="shared" si="22"/>
        <v>19.940000000000001</v>
      </c>
      <c r="J140" s="155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</row>
    <row r="141" spans="1:85" s="12" customFormat="1" x14ac:dyDescent="0.2">
      <c r="A141" s="101" t="str">
        <f t="shared" si="20"/>
        <v xml:space="preserve">RUA B </v>
      </c>
      <c r="B141" s="102"/>
      <c r="C141" s="57"/>
      <c r="D141" s="2">
        <f t="shared" si="21"/>
        <v>104.41</v>
      </c>
      <c r="E141" s="2">
        <f t="shared" si="21"/>
        <v>6.9</v>
      </c>
      <c r="F141" s="2">
        <f t="shared" si="21"/>
        <v>0.15</v>
      </c>
      <c r="G141" s="2">
        <f t="shared" si="21"/>
        <v>1</v>
      </c>
      <c r="H141" s="58"/>
      <c r="I141" s="4">
        <f t="shared" si="22"/>
        <v>108.06</v>
      </c>
      <c r="J141" s="155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</row>
    <row r="142" spans="1:85" s="12" customFormat="1" x14ac:dyDescent="0.2">
      <c r="A142" s="101" t="str">
        <f t="shared" si="20"/>
        <v>RUA EUGENIO DOS SANTOS</v>
      </c>
      <c r="B142" s="102"/>
      <c r="C142" s="57"/>
      <c r="D142" s="2">
        <f t="shared" si="21"/>
        <v>104.45</v>
      </c>
      <c r="E142" s="2">
        <f t="shared" si="21"/>
        <v>8.6999999999999993</v>
      </c>
      <c r="F142" s="2">
        <f t="shared" si="21"/>
        <v>0.15</v>
      </c>
      <c r="G142" s="2">
        <f t="shared" si="21"/>
        <v>1</v>
      </c>
      <c r="H142" s="58"/>
      <c r="I142" s="4">
        <f t="shared" si="22"/>
        <v>136.31</v>
      </c>
      <c r="J142" s="155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</row>
    <row r="143" spans="1:85" s="12" customFormat="1" x14ac:dyDescent="0.2">
      <c r="A143" s="106" t="s">
        <v>7</v>
      </c>
      <c r="B143" s="107"/>
      <c r="C143" s="107"/>
      <c r="D143" s="107"/>
      <c r="E143" s="107"/>
      <c r="F143" s="107"/>
      <c r="G143" s="107"/>
      <c r="H143" s="108"/>
      <c r="I143" s="56">
        <f>ROUND(SUM(I134:I142),2)</f>
        <v>885.76</v>
      </c>
      <c r="J143" s="43"/>
      <c r="K143" s="28"/>
      <c r="L143" s="33">
        <v>84.94</v>
      </c>
      <c r="M143" s="3">
        <f>ROUND(I143*L143,2)</f>
        <v>75236.45</v>
      </c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</row>
    <row r="144" spans="1:85" s="12" customFormat="1" x14ac:dyDescent="0.2">
      <c r="A144" s="47"/>
      <c r="B144" s="48"/>
      <c r="C144" s="48"/>
      <c r="D144" s="48"/>
      <c r="E144" s="48"/>
      <c r="F144" s="48"/>
      <c r="G144" s="48"/>
      <c r="H144" s="48"/>
      <c r="I144" s="48"/>
      <c r="J144" s="14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</row>
    <row r="145" spans="1:85" s="12" customFormat="1" x14ac:dyDescent="0.2">
      <c r="A145" s="103" t="s">
        <v>113</v>
      </c>
      <c r="B145" s="104"/>
      <c r="C145" s="104"/>
      <c r="D145" s="104"/>
      <c r="E145" s="104"/>
      <c r="F145" s="104"/>
      <c r="G145" s="104"/>
      <c r="H145" s="104"/>
      <c r="I145" s="104"/>
      <c r="J145" s="105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</row>
    <row r="146" spans="1:85" s="12" customFormat="1" x14ac:dyDescent="0.2">
      <c r="A146" s="11"/>
      <c r="J146" s="13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</row>
    <row r="147" spans="1:85" s="12" customFormat="1" ht="21" customHeight="1" x14ac:dyDescent="0.2">
      <c r="A147" s="52" t="s">
        <v>3</v>
      </c>
      <c r="B147" s="84" t="s">
        <v>114</v>
      </c>
      <c r="C147" s="51"/>
      <c r="D147" s="86" t="s">
        <v>30</v>
      </c>
      <c r="E147" s="87"/>
      <c r="F147" s="87"/>
      <c r="G147" s="87"/>
      <c r="H147" s="87"/>
      <c r="I147" s="87"/>
      <c r="J147" s="8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</row>
    <row r="148" spans="1:85" s="12" customFormat="1" x14ac:dyDescent="0.2">
      <c r="A148" s="52" t="s">
        <v>4</v>
      </c>
      <c r="B148" s="54"/>
      <c r="C148" s="55"/>
      <c r="D148" s="89"/>
      <c r="E148" s="90"/>
      <c r="F148" s="90"/>
      <c r="G148" s="90"/>
      <c r="H148" s="90"/>
      <c r="I148" s="90"/>
      <c r="J148" s="91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</row>
    <row r="149" spans="1:85" s="12" customFormat="1" x14ac:dyDescent="0.2">
      <c r="A149" s="112" t="s">
        <v>5</v>
      </c>
      <c r="B149" s="113"/>
      <c r="C149" s="116" t="s">
        <v>89</v>
      </c>
      <c r="D149" s="116" t="s">
        <v>9</v>
      </c>
      <c r="E149" s="116" t="s">
        <v>17</v>
      </c>
      <c r="F149" s="116"/>
      <c r="G149" s="116" t="s">
        <v>10</v>
      </c>
      <c r="H149" s="118"/>
      <c r="I149" s="120" t="s">
        <v>37</v>
      </c>
      <c r="J149" s="122" t="s">
        <v>6</v>
      </c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</row>
    <row r="150" spans="1:85" s="12" customFormat="1" x14ac:dyDescent="0.2">
      <c r="A150" s="114"/>
      <c r="B150" s="115"/>
      <c r="C150" s="117"/>
      <c r="D150" s="117"/>
      <c r="E150" s="117"/>
      <c r="F150" s="117"/>
      <c r="G150" s="117"/>
      <c r="H150" s="119"/>
      <c r="I150" s="121"/>
      <c r="J150" s="123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</row>
    <row r="151" spans="1:85" s="12" customFormat="1" x14ac:dyDescent="0.2">
      <c r="A151" s="101" t="str">
        <f t="shared" ref="A151:A159" si="23">A134</f>
        <v>RUA BRUNO AVELINO</v>
      </c>
      <c r="B151" s="102"/>
      <c r="C151" s="22"/>
      <c r="D151" s="2">
        <f t="shared" ref="D151:D159" si="24">D134</f>
        <v>243.63</v>
      </c>
      <c r="E151" s="2">
        <f>3.4</f>
        <v>3.4</v>
      </c>
      <c r="F151" s="45"/>
      <c r="G151" s="2">
        <v>1</v>
      </c>
      <c r="H151" s="50"/>
      <c r="I151" s="4">
        <f>ROUND(D151*E151*G151,2)</f>
        <v>828.34</v>
      </c>
      <c r="J151" s="122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</row>
    <row r="152" spans="1:85" s="12" customFormat="1" x14ac:dyDescent="0.2">
      <c r="A152" s="101" t="str">
        <f t="shared" si="23"/>
        <v>AVENIDA JOSE DUARTE</v>
      </c>
      <c r="B152" s="102"/>
      <c r="C152" s="22"/>
      <c r="D152" s="2">
        <f t="shared" si="24"/>
        <v>54.73</v>
      </c>
      <c r="E152" s="2">
        <f>(6)*2</f>
        <v>12</v>
      </c>
      <c r="F152" s="45"/>
      <c r="G152" s="2">
        <v>1</v>
      </c>
      <c r="H152" s="50"/>
      <c r="I152" s="4">
        <f t="shared" ref="I152:I159" si="25">ROUND(D152*E152*G152,2)</f>
        <v>656.76</v>
      </c>
      <c r="J152" s="12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</row>
    <row r="153" spans="1:85" s="12" customFormat="1" x14ac:dyDescent="0.2">
      <c r="A153" s="101" t="str">
        <f t="shared" si="23"/>
        <v>RUA A</v>
      </c>
      <c r="B153" s="102"/>
      <c r="C153" s="22"/>
      <c r="D153" s="2">
        <f t="shared" si="24"/>
        <v>135.57</v>
      </c>
      <c r="E153" s="2">
        <f>6</f>
        <v>6</v>
      </c>
      <c r="F153" s="45"/>
      <c r="G153" s="2">
        <v>1</v>
      </c>
      <c r="H153" s="50"/>
      <c r="I153" s="4">
        <f t="shared" si="25"/>
        <v>813.42</v>
      </c>
      <c r="J153" s="124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</row>
    <row r="154" spans="1:85" s="12" customFormat="1" x14ac:dyDescent="0.2">
      <c r="A154" s="101" t="str">
        <f t="shared" si="23"/>
        <v xml:space="preserve">RUA JUSTINO DUARTE TRECHO </v>
      </c>
      <c r="B154" s="102"/>
      <c r="C154" s="22"/>
      <c r="D154" s="2">
        <f t="shared" si="24"/>
        <v>112.76</v>
      </c>
      <c r="E154" s="2">
        <f>6</f>
        <v>6</v>
      </c>
      <c r="F154" s="45"/>
      <c r="G154" s="2">
        <v>1</v>
      </c>
      <c r="H154" s="50"/>
      <c r="I154" s="4">
        <f t="shared" si="25"/>
        <v>676.56</v>
      </c>
      <c r="J154" s="124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</row>
    <row r="155" spans="1:85" s="12" customFormat="1" x14ac:dyDescent="0.2">
      <c r="A155" s="101" t="str">
        <f t="shared" si="23"/>
        <v xml:space="preserve">RUA E </v>
      </c>
      <c r="B155" s="102"/>
      <c r="C155" s="22"/>
      <c r="D155" s="2">
        <f t="shared" si="24"/>
        <v>72.760000000000005</v>
      </c>
      <c r="E155" s="2">
        <f>6</f>
        <v>6</v>
      </c>
      <c r="F155" s="45"/>
      <c r="G155" s="2">
        <v>1</v>
      </c>
      <c r="H155" s="50"/>
      <c r="I155" s="4">
        <f t="shared" si="25"/>
        <v>436.56</v>
      </c>
      <c r="J155" s="124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</row>
    <row r="156" spans="1:85" s="12" customFormat="1" x14ac:dyDescent="0.2">
      <c r="A156" s="101" t="str">
        <f t="shared" si="23"/>
        <v>AVENIDA MONTES CLAROS</v>
      </c>
      <c r="B156" s="102"/>
      <c r="C156" s="22"/>
      <c r="D156" s="2">
        <f t="shared" si="24"/>
        <v>18.96</v>
      </c>
      <c r="E156" s="2">
        <f>7.4</f>
        <v>7.4</v>
      </c>
      <c r="F156" s="45"/>
      <c r="G156" s="2">
        <v>1</v>
      </c>
      <c r="H156" s="50"/>
      <c r="I156" s="4">
        <f t="shared" si="25"/>
        <v>140.30000000000001</v>
      </c>
      <c r="J156" s="124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</row>
    <row r="157" spans="1:85" s="12" customFormat="1" x14ac:dyDescent="0.2">
      <c r="A157" s="101" t="str">
        <f t="shared" si="23"/>
        <v>RUA PEDRO DUARTE</v>
      </c>
      <c r="B157" s="102"/>
      <c r="C157" s="22"/>
      <c r="D157" s="2">
        <f t="shared" si="24"/>
        <v>18.46</v>
      </c>
      <c r="E157" s="2">
        <f>6.3</f>
        <v>6.3</v>
      </c>
      <c r="F157" s="45"/>
      <c r="G157" s="2">
        <v>1</v>
      </c>
      <c r="H157" s="50"/>
      <c r="I157" s="4">
        <f t="shared" si="25"/>
        <v>116.3</v>
      </c>
      <c r="J157" s="12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</row>
    <row r="158" spans="1:85" s="12" customFormat="1" x14ac:dyDescent="0.2">
      <c r="A158" s="101" t="str">
        <f t="shared" si="23"/>
        <v xml:space="preserve">RUA B </v>
      </c>
      <c r="B158" s="102"/>
      <c r="C158" s="22"/>
      <c r="D158" s="2">
        <f t="shared" si="24"/>
        <v>104.41</v>
      </c>
      <c r="E158" s="2">
        <f>6</f>
        <v>6</v>
      </c>
      <c r="F158" s="45"/>
      <c r="G158" s="2">
        <v>1</v>
      </c>
      <c r="H158" s="50"/>
      <c r="I158" s="4">
        <f t="shared" si="25"/>
        <v>626.46</v>
      </c>
      <c r="J158" s="124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</row>
    <row r="159" spans="1:85" s="12" customFormat="1" x14ac:dyDescent="0.2">
      <c r="A159" s="101" t="str">
        <f t="shared" si="23"/>
        <v>RUA EUGENIO DOS SANTOS</v>
      </c>
      <c r="B159" s="102"/>
      <c r="C159" s="22"/>
      <c r="D159" s="2">
        <f t="shared" si="24"/>
        <v>104.45</v>
      </c>
      <c r="E159" s="2">
        <f>7.8</f>
        <v>7.8</v>
      </c>
      <c r="F159" s="45"/>
      <c r="G159" s="2">
        <v>1</v>
      </c>
      <c r="H159" s="50"/>
      <c r="I159" s="4">
        <f t="shared" si="25"/>
        <v>814.71</v>
      </c>
      <c r="J159" s="124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</row>
    <row r="160" spans="1:85" s="12" customFormat="1" x14ac:dyDescent="0.2">
      <c r="A160" s="106" t="s">
        <v>7</v>
      </c>
      <c r="B160" s="107"/>
      <c r="C160" s="107"/>
      <c r="D160" s="107"/>
      <c r="E160" s="107"/>
      <c r="F160" s="107"/>
      <c r="G160" s="107"/>
      <c r="H160" s="108"/>
      <c r="I160" s="56">
        <f>ROUND(SUM(I151:I159),2)</f>
        <v>5109.41</v>
      </c>
      <c r="J160" s="123"/>
      <c r="K160" s="28"/>
      <c r="L160" s="33">
        <v>5.35</v>
      </c>
      <c r="M160" s="3">
        <f>ROUND(I160*L160,2)</f>
        <v>27335.34</v>
      </c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</row>
    <row r="161" spans="1:85" s="12" customFormat="1" x14ac:dyDescent="0.2">
      <c r="A161" s="11"/>
      <c r="J161" s="13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</row>
    <row r="162" spans="1:85" s="12" customFormat="1" ht="21" customHeight="1" x14ac:dyDescent="0.2">
      <c r="A162" s="52" t="s">
        <v>3</v>
      </c>
      <c r="B162" s="84" t="s">
        <v>115</v>
      </c>
      <c r="C162" s="51"/>
      <c r="D162" s="86" t="s">
        <v>147</v>
      </c>
      <c r="E162" s="87"/>
      <c r="F162" s="87"/>
      <c r="G162" s="87"/>
      <c r="H162" s="87"/>
      <c r="I162" s="87"/>
      <c r="J162" s="8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</row>
    <row r="163" spans="1:85" s="12" customFormat="1" x14ac:dyDescent="0.2">
      <c r="A163" s="52" t="s">
        <v>4</v>
      </c>
      <c r="B163" s="54"/>
      <c r="C163" s="55"/>
      <c r="D163" s="89"/>
      <c r="E163" s="90"/>
      <c r="F163" s="90"/>
      <c r="G163" s="90"/>
      <c r="H163" s="90"/>
      <c r="I163" s="90"/>
      <c r="J163" s="91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</row>
    <row r="164" spans="1:85" s="12" customFormat="1" x14ac:dyDescent="0.2">
      <c r="A164" s="112" t="s">
        <v>5</v>
      </c>
      <c r="B164" s="113"/>
      <c r="C164" s="116" t="s">
        <v>89</v>
      </c>
      <c r="D164" s="116" t="s">
        <v>9</v>
      </c>
      <c r="E164" s="116" t="s">
        <v>17</v>
      </c>
      <c r="F164" s="116" t="s">
        <v>31</v>
      </c>
      <c r="G164" s="116" t="s">
        <v>32</v>
      </c>
      <c r="H164" s="118"/>
      <c r="I164" s="120" t="s">
        <v>36</v>
      </c>
      <c r="J164" s="122" t="s">
        <v>6</v>
      </c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</row>
    <row r="165" spans="1:85" s="12" customFormat="1" x14ac:dyDescent="0.2">
      <c r="A165" s="114"/>
      <c r="B165" s="115"/>
      <c r="C165" s="117"/>
      <c r="D165" s="117"/>
      <c r="E165" s="117"/>
      <c r="F165" s="117"/>
      <c r="G165" s="117"/>
      <c r="H165" s="119"/>
      <c r="I165" s="121"/>
      <c r="J165" s="123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</row>
    <row r="166" spans="1:85" s="12" customFormat="1" x14ac:dyDescent="0.2">
      <c r="A166" s="101" t="str">
        <f t="shared" ref="A166:A174" si="26">A151</f>
        <v>RUA BRUNO AVELINO</v>
      </c>
      <c r="B166" s="102"/>
      <c r="C166" s="1"/>
      <c r="D166" s="2">
        <f t="shared" ref="D166:E174" si="27">D151</f>
        <v>243.63</v>
      </c>
      <c r="E166" s="2">
        <f t="shared" si="27"/>
        <v>3.4</v>
      </c>
      <c r="F166" s="19">
        <v>1.1999999999999999E-3</v>
      </c>
      <c r="G166" s="18">
        <v>465</v>
      </c>
      <c r="H166" s="46"/>
      <c r="I166" s="4">
        <f>ROUND(D166*E166*G166*F166,2)</f>
        <v>462.21</v>
      </c>
      <c r="J166" s="122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</row>
    <row r="167" spans="1:85" s="12" customFormat="1" x14ac:dyDescent="0.2">
      <c r="A167" s="101" t="str">
        <f t="shared" si="26"/>
        <v>AVENIDA JOSE DUARTE</v>
      </c>
      <c r="B167" s="102"/>
      <c r="C167" s="1"/>
      <c r="D167" s="2">
        <f t="shared" si="27"/>
        <v>54.73</v>
      </c>
      <c r="E167" s="2">
        <f t="shared" si="27"/>
        <v>12</v>
      </c>
      <c r="F167" s="19">
        <v>1.1999999999999999E-3</v>
      </c>
      <c r="G167" s="18">
        <v>465</v>
      </c>
      <c r="H167" s="46"/>
      <c r="I167" s="4">
        <f t="shared" ref="I167:I174" si="28">ROUND(D167*E167*G167*F167,2)</f>
        <v>366.47</v>
      </c>
      <c r="J167" s="12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</row>
    <row r="168" spans="1:85" s="12" customFormat="1" x14ac:dyDescent="0.2">
      <c r="A168" s="101" t="str">
        <f t="shared" si="26"/>
        <v>RUA A</v>
      </c>
      <c r="B168" s="102"/>
      <c r="C168" s="1"/>
      <c r="D168" s="2">
        <f t="shared" si="27"/>
        <v>135.57</v>
      </c>
      <c r="E168" s="2">
        <f t="shared" si="27"/>
        <v>6</v>
      </c>
      <c r="F168" s="19">
        <v>1.1999999999999999E-3</v>
      </c>
      <c r="G168" s="18">
        <v>465</v>
      </c>
      <c r="H168" s="46"/>
      <c r="I168" s="4">
        <f t="shared" si="28"/>
        <v>453.89</v>
      </c>
      <c r="J168" s="12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</row>
    <row r="169" spans="1:85" s="12" customFormat="1" x14ac:dyDescent="0.2">
      <c r="A169" s="101" t="str">
        <f t="shared" si="26"/>
        <v xml:space="preserve">RUA JUSTINO DUARTE TRECHO </v>
      </c>
      <c r="B169" s="102"/>
      <c r="C169" s="1"/>
      <c r="D169" s="2">
        <f t="shared" si="27"/>
        <v>112.76</v>
      </c>
      <c r="E169" s="2">
        <f t="shared" si="27"/>
        <v>6</v>
      </c>
      <c r="F169" s="19">
        <v>1.1999999999999999E-3</v>
      </c>
      <c r="G169" s="18">
        <v>465</v>
      </c>
      <c r="H169" s="46"/>
      <c r="I169" s="4">
        <f t="shared" si="28"/>
        <v>377.52</v>
      </c>
      <c r="J169" s="124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</row>
    <row r="170" spans="1:85" s="12" customFormat="1" x14ac:dyDescent="0.2">
      <c r="A170" s="101" t="str">
        <f t="shared" si="26"/>
        <v xml:space="preserve">RUA E </v>
      </c>
      <c r="B170" s="102"/>
      <c r="C170" s="1"/>
      <c r="D170" s="2">
        <f t="shared" si="27"/>
        <v>72.760000000000005</v>
      </c>
      <c r="E170" s="2">
        <f t="shared" si="27"/>
        <v>6</v>
      </c>
      <c r="F170" s="19">
        <v>1.1999999999999999E-3</v>
      </c>
      <c r="G170" s="18">
        <v>465</v>
      </c>
      <c r="H170" s="46"/>
      <c r="I170" s="4">
        <f t="shared" si="28"/>
        <v>243.6</v>
      </c>
      <c r="J170" s="124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</row>
    <row r="171" spans="1:85" s="12" customFormat="1" x14ac:dyDescent="0.2">
      <c r="A171" s="101" t="str">
        <f t="shared" si="26"/>
        <v>AVENIDA MONTES CLAROS</v>
      </c>
      <c r="B171" s="102"/>
      <c r="C171" s="1"/>
      <c r="D171" s="2">
        <f t="shared" si="27"/>
        <v>18.96</v>
      </c>
      <c r="E171" s="2">
        <f t="shared" si="27"/>
        <v>7.4</v>
      </c>
      <c r="F171" s="19">
        <v>1.1999999999999999E-3</v>
      </c>
      <c r="G171" s="18">
        <v>465</v>
      </c>
      <c r="H171" s="46"/>
      <c r="I171" s="4">
        <f t="shared" si="28"/>
        <v>78.290000000000006</v>
      </c>
      <c r="J171" s="124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</row>
    <row r="172" spans="1:85" s="12" customFormat="1" x14ac:dyDescent="0.2">
      <c r="A172" s="101" t="str">
        <f t="shared" si="26"/>
        <v>RUA PEDRO DUARTE</v>
      </c>
      <c r="B172" s="102"/>
      <c r="C172" s="1"/>
      <c r="D172" s="2">
        <f t="shared" si="27"/>
        <v>18.46</v>
      </c>
      <c r="E172" s="2">
        <f t="shared" si="27"/>
        <v>6.3</v>
      </c>
      <c r="F172" s="19">
        <v>1.1999999999999999E-3</v>
      </c>
      <c r="G172" s="18">
        <v>465</v>
      </c>
      <c r="H172" s="46"/>
      <c r="I172" s="4">
        <f t="shared" si="28"/>
        <v>64.89</v>
      </c>
      <c r="J172" s="124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</row>
    <row r="173" spans="1:85" s="12" customFormat="1" x14ac:dyDescent="0.2">
      <c r="A173" s="101" t="str">
        <f t="shared" si="26"/>
        <v xml:space="preserve">RUA B </v>
      </c>
      <c r="B173" s="102"/>
      <c r="C173" s="57"/>
      <c r="D173" s="2">
        <f t="shared" si="27"/>
        <v>104.41</v>
      </c>
      <c r="E173" s="2">
        <f t="shared" si="27"/>
        <v>6</v>
      </c>
      <c r="F173" s="19">
        <v>1.1999999999999999E-3</v>
      </c>
      <c r="G173" s="18">
        <v>465</v>
      </c>
      <c r="H173" s="58"/>
      <c r="I173" s="4">
        <f t="shared" si="28"/>
        <v>349.56</v>
      </c>
      <c r="J173" s="124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</row>
    <row r="174" spans="1:85" s="12" customFormat="1" x14ac:dyDescent="0.2">
      <c r="A174" s="101" t="str">
        <f t="shared" si="26"/>
        <v>RUA EUGENIO DOS SANTOS</v>
      </c>
      <c r="B174" s="102"/>
      <c r="C174" s="57"/>
      <c r="D174" s="2">
        <f t="shared" si="27"/>
        <v>104.45</v>
      </c>
      <c r="E174" s="2">
        <f t="shared" si="27"/>
        <v>7.8</v>
      </c>
      <c r="F174" s="19">
        <v>1.1999999999999999E-3</v>
      </c>
      <c r="G174" s="18">
        <v>465</v>
      </c>
      <c r="H174" s="58"/>
      <c r="I174" s="4">
        <f t="shared" si="28"/>
        <v>454.61</v>
      </c>
      <c r="J174" s="124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</row>
    <row r="175" spans="1:85" s="12" customFormat="1" x14ac:dyDescent="0.2">
      <c r="A175" s="106" t="s">
        <v>7</v>
      </c>
      <c r="B175" s="107"/>
      <c r="C175" s="107"/>
      <c r="D175" s="107"/>
      <c r="E175" s="107"/>
      <c r="F175" s="107"/>
      <c r="G175" s="107"/>
      <c r="H175" s="108"/>
      <c r="I175" s="56">
        <f>ROUND(SUM(I166:I174),2)</f>
        <v>2851.04</v>
      </c>
      <c r="J175" s="123"/>
      <c r="K175" s="28"/>
      <c r="L175" s="33">
        <v>0.68</v>
      </c>
      <c r="M175" s="3">
        <f>ROUND(I175*L175,2)</f>
        <v>1938.71</v>
      </c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</row>
    <row r="176" spans="1:85" s="12" customFormat="1" x14ac:dyDescent="0.2">
      <c r="A176" s="11"/>
      <c r="J176" s="13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</row>
    <row r="177" spans="1:85" s="12" customFormat="1" ht="21" customHeight="1" x14ac:dyDescent="0.2">
      <c r="A177" s="52" t="s">
        <v>3</v>
      </c>
      <c r="B177" s="84" t="s">
        <v>116</v>
      </c>
      <c r="C177" s="51"/>
      <c r="D177" s="86" t="s">
        <v>33</v>
      </c>
      <c r="E177" s="87"/>
      <c r="F177" s="87"/>
      <c r="G177" s="87"/>
      <c r="H177" s="87"/>
      <c r="I177" s="87"/>
      <c r="J177" s="8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</row>
    <row r="178" spans="1:85" s="12" customFormat="1" x14ac:dyDescent="0.2">
      <c r="A178" s="52" t="s">
        <v>4</v>
      </c>
      <c r="B178" s="54"/>
      <c r="C178" s="55"/>
      <c r="D178" s="89"/>
      <c r="E178" s="90"/>
      <c r="F178" s="90"/>
      <c r="G178" s="90"/>
      <c r="H178" s="90"/>
      <c r="I178" s="90"/>
      <c r="J178" s="91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</row>
    <row r="179" spans="1:85" s="12" customFormat="1" x14ac:dyDescent="0.2">
      <c r="A179" s="112" t="s">
        <v>5</v>
      </c>
      <c r="B179" s="113"/>
      <c r="C179" s="116" t="s">
        <v>89</v>
      </c>
      <c r="D179" s="116" t="s">
        <v>9</v>
      </c>
      <c r="E179" s="116" t="s">
        <v>17</v>
      </c>
      <c r="F179" s="164"/>
      <c r="G179" s="116" t="s">
        <v>10</v>
      </c>
      <c r="H179" s="118"/>
      <c r="I179" s="120" t="s">
        <v>37</v>
      </c>
      <c r="J179" s="122" t="s">
        <v>6</v>
      </c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</row>
    <row r="180" spans="1:85" s="12" customFormat="1" x14ac:dyDescent="0.2">
      <c r="A180" s="114"/>
      <c r="B180" s="115"/>
      <c r="C180" s="117"/>
      <c r="D180" s="117"/>
      <c r="E180" s="117"/>
      <c r="F180" s="165"/>
      <c r="G180" s="117"/>
      <c r="H180" s="119"/>
      <c r="I180" s="121"/>
      <c r="J180" s="123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</row>
    <row r="181" spans="1:85" s="12" customFormat="1" x14ac:dyDescent="0.2">
      <c r="A181" s="101" t="str">
        <f t="shared" ref="A181:A189" si="29">A166</f>
        <v>RUA BRUNO AVELINO</v>
      </c>
      <c r="B181" s="102"/>
      <c r="C181" s="1"/>
      <c r="D181" s="2">
        <f t="shared" ref="D181:E189" si="30">D166</f>
        <v>243.63</v>
      </c>
      <c r="E181" s="2">
        <f t="shared" si="30"/>
        <v>3.4</v>
      </c>
      <c r="F181" s="16"/>
      <c r="G181" s="2">
        <v>1</v>
      </c>
      <c r="H181" s="46"/>
      <c r="I181" s="4">
        <f>ROUND(D181*E181*G181,2)</f>
        <v>828.34</v>
      </c>
      <c r="J181" s="122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</row>
    <row r="182" spans="1:85" s="12" customFormat="1" x14ac:dyDescent="0.2">
      <c r="A182" s="101" t="str">
        <f t="shared" si="29"/>
        <v>AVENIDA JOSE DUARTE</v>
      </c>
      <c r="B182" s="102"/>
      <c r="C182" s="1"/>
      <c r="D182" s="2">
        <f t="shared" si="30"/>
        <v>54.73</v>
      </c>
      <c r="E182" s="2">
        <f t="shared" si="30"/>
        <v>12</v>
      </c>
      <c r="F182" s="16"/>
      <c r="G182" s="2">
        <v>1</v>
      </c>
      <c r="H182" s="46"/>
      <c r="I182" s="4">
        <f t="shared" ref="I182:I189" si="31">ROUND(D182*E182*G182,2)</f>
        <v>656.76</v>
      </c>
      <c r="J182" s="124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</row>
    <row r="183" spans="1:85" s="12" customFormat="1" x14ac:dyDescent="0.2">
      <c r="A183" s="101" t="str">
        <f t="shared" si="29"/>
        <v>RUA A</v>
      </c>
      <c r="B183" s="102"/>
      <c r="C183" s="1"/>
      <c r="D183" s="2">
        <f t="shared" si="30"/>
        <v>135.57</v>
      </c>
      <c r="E183" s="2">
        <f t="shared" si="30"/>
        <v>6</v>
      </c>
      <c r="F183" s="16"/>
      <c r="G183" s="2">
        <v>1</v>
      </c>
      <c r="H183" s="46"/>
      <c r="I183" s="4">
        <f t="shared" si="31"/>
        <v>813.42</v>
      </c>
      <c r="J183" s="124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</row>
    <row r="184" spans="1:85" s="12" customFormat="1" x14ac:dyDescent="0.2">
      <c r="A184" s="101" t="str">
        <f t="shared" si="29"/>
        <v xml:space="preserve">RUA JUSTINO DUARTE TRECHO </v>
      </c>
      <c r="B184" s="102"/>
      <c r="C184" s="1"/>
      <c r="D184" s="2">
        <f t="shared" si="30"/>
        <v>112.76</v>
      </c>
      <c r="E184" s="2">
        <f t="shared" si="30"/>
        <v>6</v>
      </c>
      <c r="F184" s="16"/>
      <c r="G184" s="2">
        <v>1</v>
      </c>
      <c r="H184" s="46"/>
      <c r="I184" s="4">
        <f t="shared" si="31"/>
        <v>676.56</v>
      </c>
      <c r="J184" s="124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</row>
    <row r="185" spans="1:85" s="12" customFormat="1" x14ac:dyDescent="0.2">
      <c r="A185" s="101" t="str">
        <f t="shared" si="29"/>
        <v xml:space="preserve">RUA E </v>
      </c>
      <c r="B185" s="102"/>
      <c r="C185" s="1"/>
      <c r="D185" s="2">
        <f t="shared" si="30"/>
        <v>72.760000000000005</v>
      </c>
      <c r="E185" s="2">
        <f t="shared" si="30"/>
        <v>6</v>
      </c>
      <c r="F185" s="16"/>
      <c r="G185" s="2">
        <v>1</v>
      </c>
      <c r="H185" s="46"/>
      <c r="I185" s="4">
        <f t="shared" si="31"/>
        <v>436.56</v>
      </c>
      <c r="J185" s="124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</row>
    <row r="186" spans="1:85" s="12" customFormat="1" x14ac:dyDescent="0.2">
      <c r="A186" s="101" t="str">
        <f t="shared" si="29"/>
        <v>AVENIDA MONTES CLAROS</v>
      </c>
      <c r="B186" s="102"/>
      <c r="C186" s="1"/>
      <c r="D186" s="2">
        <f t="shared" si="30"/>
        <v>18.96</v>
      </c>
      <c r="E186" s="2">
        <f t="shared" si="30"/>
        <v>7.4</v>
      </c>
      <c r="F186" s="16"/>
      <c r="G186" s="2">
        <v>1</v>
      </c>
      <c r="H186" s="46"/>
      <c r="I186" s="4">
        <f t="shared" si="31"/>
        <v>140.30000000000001</v>
      </c>
      <c r="J186" s="124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</row>
    <row r="187" spans="1:85" s="12" customFormat="1" x14ac:dyDescent="0.2">
      <c r="A187" s="101" t="str">
        <f t="shared" si="29"/>
        <v>RUA PEDRO DUARTE</v>
      </c>
      <c r="B187" s="102"/>
      <c r="C187" s="1"/>
      <c r="D187" s="2">
        <f t="shared" si="30"/>
        <v>18.46</v>
      </c>
      <c r="E187" s="2">
        <f t="shared" si="30"/>
        <v>6.3</v>
      </c>
      <c r="F187" s="16"/>
      <c r="G187" s="2">
        <v>1</v>
      </c>
      <c r="H187" s="46"/>
      <c r="I187" s="4">
        <f t="shared" si="31"/>
        <v>116.3</v>
      </c>
      <c r="J187" s="124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</row>
    <row r="188" spans="1:85" s="12" customFormat="1" x14ac:dyDescent="0.2">
      <c r="A188" s="101" t="str">
        <f t="shared" si="29"/>
        <v xml:space="preserve">RUA B </v>
      </c>
      <c r="B188" s="102"/>
      <c r="C188" s="57"/>
      <c r="D188" s="2">
        <f t="shared" si="30"/>
        <v>104.41</v>
      </c>
      <c r="E188" s="2">
        <f t="shared" si="30"/>
        <v>6</v>
      </c>
      <c r="F188" s="64"/>
      <c r="G188" s="2">
        <v>1</v>
      </c>
      <c r="H188" s="58"/>
      <c r="I188" s="4">
        <f t="shared" si="31"/>
        <v>626.46</v>
      </c>
      <c r="J188" s="124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</row>
    <row r="189" spans="1:85" s="12" customFormat="1" x14ac:dyDescent="0.2">
      <c r="A189" s="101" t="str">
        <f t="shared" si="29"/>
        <v>RUA EUGENIO DOS SANTOS</v>
      </c>
      <c r="B189" s="102"/>
      <c r="C189" s="57"/>
      <c r="D189" s="2">
        <f t="shared" si="30"/>
        <v>104.45</v>
      </c>
      <c r="E189" s="2">
        <f t="shared" si="30"/>
        <v>7.8</v>
      </c>
      <c r="F189" s="64"/>
      <c r="G189" s="2">
        <v>1</v>
      </c>
      <c r="H189" s="58"/>
      <c r="I189" s="4">
        <f t="shared" si="31"/>
        <v>814.71</v>
      </c>
      <c r="J189" s="124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</row>
    <row r="190" spans="1:85" s="12" customFormat="1" x14ac:dyDescent="0.2">
      <c r="A190" s="106" t="s">
        <v>7</v>
      </c>
      <c r="B190" s="107"/>
      <c r="C190" s="107"/>
      <c r="D190" s="107"/>
      <c r="E190" s="107"/>
      <c r="F190" s="107"/>
      <c r="G190" s="107"/>
      <c r="H190" s="108"/>
      <c r="I190" s="56">
        <f>ROUND(SUM(I181:I189),2)</f>
        <v>5109.41</v>
      </c>
      <c r="J190" s="123"/>
      <c r="K190" s="28"/>
      <c r="L190" s="33">
        <v>2.84</v>
      </c>
      <c r="M190" s="3">
        <f>ROUND(I190*L190,2)</f>
        <v>14510.72</v>
      </c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</row>
    <row r="191" spans="1:85" s="12" customFormat="1" x14ac:dyDescent="0.2">
      <c r="A191" s="11"/>
      <c r="J191" s="13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</row>
    <row r="192" spans="1:85" s="12" customFormat="1" ht="21" customHeight="1" x14ac:dyDescent="0.2">
      <c r="A192" s="52" t="s">
        <v>3</v>
      </c>
      <c r="B192" s="84" t="s">
        <v>117</v>
      </c>
      <c r="C192" s="51"/>
      <c r="D192" s="86" t="s">
        <v>144</v>
      </c>
      <c r="E192" s="87"/>
      <c r="F192" s="87"/>
      <c r="G192" s="87"/>
      <c r="H192" s="87"/>
      <c r="I192" s="87"/>
      <c r="J192" s="8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</row>
    <row r="193" spans="1:85" s="12" customFormat="1" x14ac:dyDescent="0.2">
      <c r="A193" s="52" t="s">
        <v>4</v>
      </c>
      <c r="B193" s="54"/>
      <c r="C193" s="55"/>
      <c r="D193" s="89"/>
      <c r="E193" s="90"/>
      <c r="F193" s="90"/>
      <c r="G193" s="90"/>
      <c r="H193" s="90"/>
      <c r="I193" s="90"/>
      <c r="J193" s="91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</row>
    <row r="194" spans="1:85" s="12" customFormat="1" x14ac:dyDescent="0.2">
      <c r="A194" s="112" t="s">
        <v>5</v>
      </c>
      <c r="B194" s="113"/>
      <c r="C194" s="116" t="s">
        <v>89</v>
      </c>
      <c r="D194" s="116" t="s">
        <v>9</v>
      </c>
      <c r="E194" s="116" t="s">
        <v>17</v>
      </c>
      <c r="F194" s="166" t="s">
        <v>34</v>
      </c>
      <c r="G194" s="166" t="s">
        <v>32</v>
      </c>
      <c r="H194" s="118"/>
      <c r="I194" s="120" t="s">
        <v>36</v>
      </c>
      <c r="J194" s="122" t="s">
        <v>6</v>
      </c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</row>
    <row r="195" spans="1:85" s="12" customFormat="1" x14ac:dyDescent="0.2">
      <c r="A195" s="114"/>
      <c r="B195" s="115"/>
      <c r="C195" s="117"/>
      <c r="D195" s="117"/>
      <c r="E195" s="117"/>
      <c r="F195" s="167"/>
      <c r="G195" s="167"/>
      <c r="H195" s="119"/>
      <c r="I195" s="121"/>
      <c r="J195" s="123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</row>
    <row r="196" spans="1:85" s="12" customFormat="1" x14ac:dyDescent="0.2">
      <c r="A196" s="101" t="str">
        <f t="shared" ref="A196:A204" si="32">A181</f>
        <v>RUA BRUNO AVELINO</v>
      </c>
      <c r="B196" s="102"/>
      <c r="C196" s="1"/>
      <c r="D196" s="2">
        <f t="shared" ref="D196:E204" si="33">D181</f>
        <v>243.63</v>
      </c>
      <c r="E196" s="2">
        <f t="shared" si="33"/>
        <v>3.4</v>
      </c>
      <c r="F196" s="17">
        <v>5.0000000000000001E-4</v>
      </c>
      <c r="G196" s="18">
        <v>465</v>
      </c>
      <c r="H196" s="46"/>
      <c r="I196" s="4">
        <f>ROUND(D196*E196*G196*F196,2)</f>
        <v>192.59</v>
      </c>
      <c r="J196" s="122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</row>
    <row r="197" spans="1:85" s="12" customFormat="1" x14ac:dyDescent="0.2">
      <c r="A197" s="101" t="str">
        <f t="shared" si="32"/>
        <v>AVENIDA JOSE DUARTE</v>
      </c>
      <c r="B197" s="102"/>
      <c r="C197" s="1"/>
      <c r="D197" s="2">
        <f t="shared" si="33"/>
        <v>54.73</v>
      </c>
      <c r="E197" s="2">
        <f t="shared" si="33"/>
        <v>12</v>
      </c>
      <c r="F197" s="17">
        <v>5.0000000000000001E-4</v>
      </c>
      <c r="G197" s="18">
        <v>465</v>
      </c>
      <c r="H197" s="46"/>
      <c r="I197" s="4">
        <f t="shared" ref="I197:I204" si="34">ROUND(D197*E197*G197*F197,2)</f>
        <v>152.69999999999999</v>
      </c>
      <c r="J197" s="124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</row>
    <row r="198" spans="1:85" s="12" customFormat="1" x14ac:dyDescent="0.2">
      <c r="A198" s="101" t="str">
        <f t="shared" si="32"/>
        <v>RUA A</v>
      </c>
      <c r="B198" s="102"/>
      <c r="C198" s="1"/>
      <c r="D198" s="2">
        <f t="shared" si="33"/>
        <v>135.57</v>
      </c>
      <c r="E198" s="2">
        <f t="shared" si="33"/>
        <v>6</v>
      </c>
      <c r="F198" s="17">
        <v>5.0000000000000001E-4</v>
      </c>
      <c r="G198" s="18">
        <v>465</v>
      </c>
      <c r="H198" s="46"/>
      <c r="I198" s="4">
        <f t="shared" si="34"/>
        <v>189.12</v>
      </c>
      <c r="J198" s="124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</row>
    <row r="199" spans="1:85" s="12" customFormat="1" x14ac:dyDescent="0.2">
      <c r="A199" s="101" t="str">
        <f t="shared" si="32"/>
        <v xml:space="preserve">RUA JUSTINO DUARTE TRECHO </v>
      </c>
      <c r="B199" s="102"/>
      <c r="C199" s="1"/>
      <c r="D199" s="2">
        <f t="shared" si="33"/>
        <v>112.76</v>
      </c>
      <c r="E199" s="2">
        <f t="shared" si="33"/>
        <v>6</v>
      </c>
      <c r="F199" s="17">
        <v>5.0000000000000001E-4</v>
      </c>
      <c r="G199" s="18">
        <v>465</v>
      </c>
      <c r="H199" s="46"/>
      <c r="I199" s="4">
        <f t="shared" si="34"/>
        <v>157.30000000000001</v>
      </c>
      <c r="J199" s="124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</row>
    <row r="200" spans="1:85" s="12" customFormat="1" x14ac:dyDescent="0.2">
      <c r="A200" s="101" t="str">
        <f t="shared" si="32"/>
        <v xml:space="preserve">RUA E </v>
      </c>
      <c r="B200" s="102"/>
      <c r="C200" s="1"/>
      <c r="D200" s="2">
        <f t="shared" si="33"/>
        <v>72.760000000000005</v>
      </c>
      <c r="E200" s="2">
        <f t="shared" si="33"/>
        <v>6</v>
      </c>
      <c r="F200" s="17">
        <v>5.0000000000000001E-4</v>
      </c>
      <c r="G200" s="18">
        <v>465</v>
      </c>
      <c r="H200" s="46"/>
      <c r="I200" s="4">
        <f t="shared" si="34"/>
        <v>101.5</v>
      </c>
      <c r="J200" s="124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</row>
    <row r="201" spans="1:85" s="12" customFormat="1" x14ac:dyDescent="0.2">
      <c r="A201" s="101" t="str">
        <f t="shared" si="32"/>
        <v>AVENIDA MONTES CLAROS</v>
      </c>
      <c r="B201" s="102"/>
      <c r="C201" s="1"/>
      <c r="D201" s="2">
        <f t="shared" si="33"/>
        <v>18.96</v>
      </c>
      <c r="E201" s="2">
        <f t="shared" si="33"/>
        <v>7.4</v>
      </c>
      <c r="F201" s="17">
        <v>5.0000000000000001E-4</v>
      </c>
      <c r="G201" s="18">
        <v>465</v>
      </c>
      <c r="H201" s="46"/>
      <c r="I201" s="4">
        <f t="shared" si="34"/>
        <v>32.619999999999997</v>
      </c>
      <c r="J201" s="124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</row>
    <row r="202" spans="1:85" s="12" customFormat="1" x14ac:dyDescent="0.2">
      <c r="A202" s="101" t="str">
        <f t="shared" si="32"/>
        <v>RUA PEDRO DUARTE</v>
      </c>
      <c r="B202" s="102"/>
      <c r="C202" s="1"/>
      <c r="D202" s="2">
        <f t="shared" si="33"/>
        <v>18.46</v>
      </c>
      <c r="E202" s="2">
        <f t="shared" si="33"/>
        <v>6.3</v>
      </c>
      <c r="F202" s="17">
        <v>5.0000000000000001E-4</v>
      </c>
      <c r="G202" s="18">
        <v>465</v>
      </c>
      <c r="H202" s="46"/>
      <c r="I202" s="4">
        <f t="shared" si="34"/>
        <v>27.04</v>
      </c>
      <c r="J202" s="124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</row>
    <row r="203" spans="1:85" s="12" customFormat="1" x14ac:dyDescent="0.2">
      <c r="A203" s="101" t="str">
        <f t="shared" si="32"/>
        <v xml:space="preserve">RUA B </v>
      </c>
      <c r="B203" s="102"/>
      <c r="C203" s="57"/>
      <c r="D203" s="2">
        <f t="shared" si="33"/>
        <v>104.41</v>
      </c>
      <c r="E203" s="2">
        <f t="shared" si="33"/>
        <v>6</v>
      </c>
      <c r="F203" s="17">
        <v>5.0000000000000001E-4</v>
      </c>
      <c r="G203" s="18">
        <v>465</v>
      </c>
      <c r="H203" s="58"/>
      <c r="I203" s="4">
        <f t="shared" si="34"/>
        <v>145.65</v>
      </c>
      <c r="J203" s="124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</row>
    <row r="204" spans="1:85" s="12" customFormat="1" x14ac:dyDescent="0.2">
      <c r="A204" s="101" t="str">
        <f t="shared" si="32"/>
        <v>RUA EUGENIO DOS SANTOS</v>
      </c>
      <c r="B204" s="102"/>
      <c r="C204" s="57"/>
      <c r="D204" s="2">
        <f t="shared" si="33"/>
        <v>104.45</v>
      </c>
      <c r="E204" s="2">
        <f t="shared" si="33"/>
        <v>7.8</v>
      </c>
      <c r="F204" s="17">
        <v>5.0000000000000001E-4</v>
      </c>
      <c r="G204" s="18">
        <v>465</v>
      </c>
      <c r="H204" s="58"/>
      <c r="I204" s="4">
        <f t="shared" si="34"/>
        <v>189.42</v>
      </c>
      <c r="J204" s="124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</row>
    <row r="205" spans="1:85" s="12" customFormat="1" x14ac:dyDescent="0.2">
      <c r="A205" s="106" t="s">
        <v>7</v>
      </c>
      <c r="B205" s="107"/>
      <c r="C205" s="107"/>
      <c r="D205" s="107"/>
      <c r="E205" s="107"/>
      <c r="F205" s="107"/>
      <c r="G205" s="107"/>
      <c r="H205" s="108"/>
      <c r="I205" s="56">
        <f>ROUND(SUM(I196:I204),2)</f>
        <v>1187.94</v>
      </c>
      <c r="J205" s="123"/>
      <c r="K205" s="28"/>
      <c r="L205" s="33">
        <v>0.68</v>
      </c>
      <c r="M205" s="3">
        <f>ROUND(I205*L205,2)</f>
        <v>807.8</v>
      </c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</row>
    <row r="206" spans="1:85" s="12" customFormat="1" x14ac:dyDescent="0.2">
      <c r="A206" s="11"/>
      <c r="J206" s="13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</row>
    <row r="207" spans="1:85" s="12" customFormat="1" ht="21" customHeight="1" x14ac:dyDescent="0.2">
      <c r="A207" s="52" t="s">
        <v>3</v>
      </c>
      <c r="B207" s="84" t="s">
        <v>118</v>
      </c>
      <c r="C207" s="51"/>
      <c r="D207" s="86" t="s">
        <v>143</v>
      </c>
      <c r="E207" s="87"/>
      <c r="F207" s="87"/>
      <c r="G207" s="87"/>
      <c r="H207" s="87"/>
      <c r="I207" s="87"/>
      <c r="J207" s="8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</row>
    <row r="208" spans="1:85" s="12" customFormat="1" ht="20.25" customHeight="1" x14ac:dyDescent="0.2">
      <c r="A208" s="52" t="s">
        <v>4</v>
      </c>
      <c r="B208" s="54"/>
      <c r="C208" s="55"/>
      <c r="D208" s="89"/>
      <c r="E208" s="90"/>
      <c r="F208" s="90"/>
      <c r="G208" s="90"/>
      <c r="H208" s="90"/>
      <c r="I208" s="90"/>
      <c r="J208" s="91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</row>
    <row r="209" spans="1:85" s="12" customFormat="1" x14ac:dyDescent="0.2">
      <c r="A209" s="112" t="s">
        <v>5</v>
      </c>
      <c r="B209" s="113"/>
      <c r="C209" s="116" t="s">
        <v>89</v>
      </c>
      <c r="D209" s="116" t="s">
        <v>9</v>
      </c>
      <c r="E209" s="116" t="s">
        <v>17</v>
      </c>
      <c r="F209" s="116" t="s">
        <v>61</v>
      </c>
      <c r="G209" s="116" t="s">
        <v>10</v>
      </c>
      <c r="H209" s="118"/>
      <c r="I209" s="120" t="s">
        <v>35</v>
      </c>
      <c r="J209" s="122" t="s">
        <v>6</v>
      </c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</row>
    <row r="210" spans="1:85" s="12" customFormat="1" x14ac:dyDescent="0.2">
      <c r="A210" s="114"/>
      <c r="B210" s="115"/>
      <c r="C210" s="117"/>
      <c r="D210" s="117"/>
      <c r="E210" s="117"/>
      <c r="F210" s="117"/>
      <c r="G210" s="117"/>
      <c r="H210" s="119"/>
      <c r="I210" s="121"/>
      <c r="J210" s="123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</row>
    <row r="211" spans="1:85" s="12" customFormat="1" x14ac:dyDescent="0.2">
      <c r="A211" s="101" t="str">
        <f t="shared" ref="A211:A219" si="35">A196</f>
        <v>RUA BRUNO AVELINO</v>
      </c>
      <c r="B211" s="102"/>
      <c r="C211" s="1"/>
      <c r="D211" s="2">
        <f t="shared" ref="D211:E219" si="36">D196</f>
        <v>243.63</v>
      </c>
      <c r="E211" s="2">
        <f t="shared" si="36"/>
        <v>3.4</v>
      </c>
      <c r="F211" s="59">
        <v>0.03</v>
      </c>
      <c r="G211" s="59">
        <v>1</v>
      </c>
      <c r="H211" s="46"/>
      <c r="I211" s="4">
        <f>ROUND(D211*E211*G211*F211,2)</f>
        <v>24.85</v>
      </c>
      <c r="J211" s="122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</row>
    <row r="212" spans="1:85" s="12" customFormat="1" x14ac:dyDescent="0.2">
      <c r="A212" s="101" t="str">
        <f t="shared" si="35"/>
        <v>AVENIDA JOSE DUARTE</v>
      </c>
      <c r="B212" s="102"/>
      <c r="C212" s="1"/>
      <c r="D212" s="2">
        <f t="shared" si="36"/>
        <v>54.73</v>
      </c>
      <c r="E212" s="2">
        <f t="shared" si="36"/>
        <v>12</v>
      </c>
      <c r="F212" s="59">
        <v>0.03</v>
      </c>
      <c r="G212" s="59">
        <v>1</v>
      </c>
      <c r="H212" s="46"/>
      <c r="I212" s="4">
        <f t="shared" ref="I212:I219" si="37">ROUND(D212*E212*G212*F212,2)</f>
        <v>19.7</v>
      </c>
      <c r="J212" s="124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</row>
    <row r="213" spans="1:85" s="12" customFormat="1" x14ac:dyDescent="0.2">
      <c r="A213" s="101" t="str">
        <f t="shared" si="35"/>
        <v>RUA A</v>
      </c>
      <c r="B213" s="102"/>
      <c r="C213" s="1"/>
      <c r="D213" s="2">
        <f t="shared" si="36"/>
        <v>135.57</v>
      </c>
      <c r="E213" s="2">
        <f t="shared" si="36"/>
        <v>6</v>
      </c>
      <c r="F213" s="59">
        <v>0.03</v>
      </c>
      <c r="G213" s="59">
        <v>1</v>
      </c>
      <c r="H213" s="46"/>
      <c r="I213" s="4">
        <f t="shared" si="37"/>
        <v>24.4</v>
      </c>
      <c r="J213" s="124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</row>
    <row r="214" spans="1:85" s="12" customFormat="1" x14ac:dyDescent="0.2">
      <c r="A214" s="101" t="str">
        <f t="shared" si="35"/>
        <v xml:space="preserve">RUA JUSTINO DUARTE TRECHO </v>
      </c>
      <c r="B214" s="102"/>
      <c r="C214" s="1"/>
      <c r="D214" s="2">
        <f t="shared" si="36"/>
        <v>112.76</v>
      </c>
      <c r="E214" s="2">
        <f t="shared" si="36"/>
        <v>6</v>
      </c>
      <c r="F214" s="59">
        <v>0.03</v>
      </c>
      <c r="G214" s="59">
        <v>1</v>
      </c>
      <c r="H214" s="46"/>
      <c r="I214" s="4">
        <f t="shared" si="37"/>
        <v>20.3</v>
      </c>
      <c r="J214" s="124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</row>
    <row r="215" spans="1:85" s="12" customFormat="1" x14ac:dyDescent="0.2">
      <c r="A215" s="101" t="str">
        <f t="shared" si="35"/>
        <v xml:space="preserve">RUA E </v>
      </c>
      <c r="B215" s="102"/>
      <c r="C215" s="1"/>
      <c r="D215" s="2">
        <f t="shared" si="36"/>
        <v>72.760000000000005</v>
      </c>
      <c r="E215" s="2">
        <f t="shared" si="36"/>
        <v>6</v>
      </c>
      <c r="F215" s="59">
        <v>0.03</v>
      </c>
      <c r="G215" s="59">
        <v>1</v>
      </c>
      <c r="H215" s="46"/>
      <c r="I215" s="4">
        <f t="shared" si="37"/>
        <v>13.1</v>
      </c>
      <c r="J215" s="124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</row>
    <row r="216" spans="1:85" s="12" customFormat="1" x14ac:dyDescent="0.2">
      <c r="A216" s="101" t="str">
        <f t="shared" si="35"/>
        <v>AVENIDA MONTES CLAROS</v>
      </c>
      <c r="B216" s="102"/>
      <c r="C216" s="1"/>
      <c r="D216" s="2">
        <f t="shared" si="36"/>
        <v>18.96</v>
      </c>
      <c r="E216" s="2">
        <f t="shared" si="36"/>
        <v>7.4</v>
      </c>
      <c r="F216" s="59">
        <v>0.03</v>
      </c>
      <c r="G216" s="59">
        <v>1</v>
      </c>
      <c r="H216" s="46"/>
      <c r="I216" s="4">
        <f t="shared" si="37"/>
        <v>4.21</v>
      </c>
      <c r="J216" s="124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</row>
    <row r="217" spans="1:85" s="12" customFormat="1" x14ac:dyDescent="0.2">
      <c r="A217" s="101" t="str">
        <f t="shared" si="35"/>
        <v>RUA PEDRO DUARTE</v>
      </c>
      <c r="B217" s="102"/>
      <c r="C217" s="1"/>
      <c r="D217" s="2">
        <f t="shared" si="36"/>
        <v>18.46</v>
      </c>
      <c r="E217" s="2">
        <f t="shared" si="36"/>
        <v>6.3</v>
      </c>
      <c r="F217" s="59">
        <v>0.03</v>
      </c>
      <c r="G217" s="59">
        <v>1</v>
      </c>
      <c r="H217" s="46"/>
      <c r="I217" s="4">
        <f t="shared" si="37"/>
        <v>3.49</v>
      </c>
      <c r="J217" s="124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</row>
    <row r="218" spans="1:85" s="12" customFormat="1" x14ac:dyDescent="0.2">
      <c r="A218" s="101" t="str">
        <f t="shared" si="35"/>
        <v xml:space="preserve">RUA B </v>
      </c>
      <c r="B218" s="102"/>
      <c r="C218" s="57"/>
      <c r="D218" s="2">
        <f t="shared" si="36"/>
        <v>104.41</v>
      </c>
      <c r="E218" s="2">
        <f t="shared" si="36"/>
        <v>6</v>
      </c>
      <c r="F218" s="59">
        <v>0.03</v>
      </c>
      <c r="G218" s="59">
        <v>1</v>
      </c>
      <c r="H218" s="58"/>
      <c r="I218" s="4">
        <f t="shared" si="37"/>
        <v>18.79</v>
      </c>
      <c r="J218" s="124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</row>
    <row r="219" spans="1:85" s="12" customFormat="1" x14ac:dyDescent="0.2">
      <c r="A219" s="101" t="str">
        <f t="shared" si="35"/>
        <v>RUA EUGENIO DOS SANTOS</v>
      </c>
      <c r="B219" s="102"/>
      <c r="C219" s="57"/>
      <c r="D219" s="2">
        <f t="shared" si="36"/>
        <v>104.45</v>
      </c>
      <c r="E219" s="2">
        <f t="shared" si="36"/>
        <v>7.8</v>
      </c>
      <c r="F219" s="59">
        <v>0.03</v>
      </c>
      <c r="G219" s="59">
        <v>1</v>
      </c>
      <c r="H219" s="58"/>
      <c r="I219" s="4">
        <f t="shared" si="37"/>
        <v>24.44</v>
      </c>
      <c r="J219" s="124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</row>
    <row r="220" spans="1:85" s="12" customFormat="1" x14ac:dyDescent="0.2">
      <c r="A220" s="106" t="s">
        <v>7</v>
      </c>
      <c r="B220" s="107"/>
      <c r="C220" s="107"/>
      <c r="D220" s="107"/>
      <c r="E220" s="107"/>
      <c r="F220" s="107"/>
      <c r="G220" s="107"/>
      <c r="H220" s="108"/>
      <c r="I220" s="56">
        <f>ROUND(SUM(I211:I219),2)</f>
        <v>153.28</v>
      </c>
      <c r="J220" s="123"/>
      <c r="K220" s="28"/>
      <c r="L220" s="33">
        <v>959.55</v>
      </c>
      <c r="M220" s="3">
        <f>ROUND(I220*L220,2)</f>
        <v>147079.82</v>
      </c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</row>
    <row r="221" spans="1:85" s="12" customFormat="1" x14ac:dyDescent="0.2">
      <c r="A221" s="11"/>
      <c r="J221" s="13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</row>
    <row r="222" spans="1:85" s="12" customFormat="1" ht="21" customHeight="1" x14ac:dyDescent="0.2">
      <c r="A222" s="52" t="s">
        <v>3</v>
      </c>
      <c r="B222" s="84" t="s">
        <v>119</v>
      </c>
      <c r="C222" s="51"/>
      <c r="D222" s="86" t="s">
        <v>44</v>
      </c>
      <c r="E222" s="87"/>
      <c r="F222" s="87"/>
      <c r="G222" s="87"/>
      <c r="H222" s="87"/>
      <c r="I222" s="87"/>
      <c r="J222" s="8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</row>
    <row r="223" spans="1:85" s="12" customFormat="1" x14ac:dyDescent="0.2">
      <c r="A223" s="52" t="s">
        <v>4</v>
      </c>
      <c r="B223" s="54"/>
      <c r="C223" s="55"/>
      <c r="D223" s="89"/>
      <c r="E223" s="90"/>
      <c r="F223" s="90"/>
      <c r="G223" s="90"/>
      <c r="H223" s="90"/>
      <c r="I223" s="90"/>
      <c r="J223" s="91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</row>
    <row r="224" spans="1:85" s="12" customFormat="1" x14ac:dyDescent="0.2">
      <c r="A224" s="112" t="s">
        <v>5</v>
      </c>
      <c r="B224" s="113"/>
      <c r="C224" s="116" t="s">
        <v>89</v>
      </c>
      <c r="D224" s="120" t="s">
        <v>35</v>
      </c>
      <c r="E224" s="120" t="s">
        <v>32</v>
      </c>
      <c r="F224" s="116"/>
      <c r="G224" s="162"/>
      <c r="H224" s="118"/>
      <c r="I224" s="120" t="s">
        <v>23</v>
      </c>
      <c r="J224" s="122" t="s">
        <v>6</v>
      </c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</row>
    <row r="225" spans="1:85" s="12" customFormat="1" x14ac:dyDescent="0.2">
      <c r="A225" s="114"/>
      <c r="B225" s="115"/>
      <c r="C225" s="117"/>
      <c r="D225" s="121"/>
      <c r="E225" s="121"/>
      <c r="F225" s="117"/>
      <c r="G225" s="163"/>
      <c r="H225" s="119"/>
      <c r="I225" s="121"/>
      <c r="J225" s="123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</row>
    <row r="226" spans="1:85" s="12" customFormat="1" x14ac:dyDescent="0.2">
      <c r="A226" s="101"/>
      <c r="B226" s="102"/>
      <c r="C226" s="1"/>
      <c r="D226" s="59">
        <f>I220</f>
        <v>153.28</v>
      </c>
      <c r="E226" s="65">
        <v>57.7</v>
      </c>
      <c r="F226" s="59"/>
      <c r="G226" s="29"/>
      <c r="H226" s="46"/>
      <c r="I226" s="4">
        <f>ROUND(D226*E226,2)</f>
        <v>8844.26</v>
      </c>
      <c r="J226" s="122" t="s">
        <v>99</v>
      </c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</row>
    <row r="227" spans="1:85" s="12" customFormat="1" x14ac:dyDescent="0.2">
      <c r="A227" s="106" t="s">
        <v>7</v>
      </c>
      <c r="B227" s="107"/>
      <c r="C227" s="107"/>
      <c r="D227" s="107"/>
      <c r="E227" s="107"/>
      <c r="F227" s="107"/>
      <c r="G227" s="107"/>
      <c r="H227" s="108"/>
      <c r="I227" s="56">
        <f>ROUND(SUM(I226:I226),2)</f>
        <v>8844.26</v>
      </c>
      <c r="J227" s="123"/>
      <c r="K227" s="28"/>
      <c r="L227" s="33">
        <v>1.78</v>
      </c>
      <c r="M227" s="3">
        <f>ROUND(I227*L227,2)</f>
        <v>15742.78</v>
      </c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</row>
    <row r="228" spans="1:85" s="12" customFormat="1" x14ac:dyDescent="0.2">
      <c r="A228" s="11"/>
      <c r="J228" s="13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</row>
    <row r="229" spans="1:85" s="12" customFormat="1" ht="21" customHeight="1" x14ac:dyDescent="0.2">
      <c r="A229" s="52" t="s">
        <v>3</v>
      </c>
      <c r="B229" s="84" t="s">
        <v>120</v>
      </c>
      <c r="C229" s="51"/>
      <c r="D229" s="86" t="s">
        <v>43</v>
      </c>
      <c r="E229" s="87"/>
      <c r="F229" s="87"/>
      <c r="G229" s="87"/>
      <c r="H229" s="87"/>
      <c r="I229" s="87"/>
      <c r="J229" s="8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</row>
    <row r="230" spans="1:85" s="12" customFormat="1" x14ac:dyDescent="0.2">
      <c r="A230" s="52" t="s">
        <v>4</v>
      </c>
      <c r="B230" s="54"/>
      <c r="C230" s="55"/>
      <c r="D230" s="89"/>
      <c r="E230" s="90"/>
      <c r="F230" s="90"/>
      <c r="G230" s="90"/>
      <c r="H230" s="90"/>
      <c r="I230" s="90"/>
      <c r="J230" s="91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</row>
    <row r="231" spans="1:85" s="12" customFormat="1" x14ac:dyDescent="0.2">
      <c r="A231" s="112" t="s">
        <v>5</v>
      </c>
      <c r="B231" s="113"/>
      <c r="C231" s="116" t="s">
        <v>89</v>
      </c>
      <c r="D231" s="120" t="s">
        <v>35</v>
      </c>
      <c r="E231" s="120" t="s">
        <v>41</v>
      </c>
      <c r="F231" s="120" t="s">
        <v>32</v>
      </c>
      <c r="G231" s="116"/>
      <c r="H231" s="118"/>
      <c r="I231" s="120" t="s">
        <v>23</v>
      </c>
      <c r="J231" s="122" t="s">
        <v>6</v>
      </c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</row>
    <row r="232" spans="1:85" s="12" customFormat="1" x14ac:dyDescent="0.2">
      <c r="A232" s="114"/>
      <c r="B232" s="115"/>
      <c r="C232" s="117"/>
      <c r="D232" s="121"/>
      <c r="E232" s="121"/>
      <c r="F232" s="121"/>
      <c r="G232" s="117"/>
      <c r="H232" s="119"/>
      <c r="I232" s="121"/>
      <c r="J232" s="123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</row>
    <row r="233" spans="1:85" s="12" customFormat="1" x14ac:dyDescent="0.2">
      <c r="A233" s="157"/>
      <c r="B233" s="158"/>
      <c r="C233" s="20"/>
      <c r="D233" s="23">
        <f>D226</f>
        <v>153.28</v>
      </c>
      <c r="E233" s="40">
        <v>0.193</v>
      </c>
      <c r="F233" s="24">
        <v>5</v>
      </c>
      <c r="G233" s="23"/>
      <c r="H233" s="21"/>
      <c r="I233" s="4">
        <f>ROUND(D233*E233*F233,2)</f>
        <v>147.91999999999999</v>
      </c>
      <c r="J233" s="122" t="s">
        <v>100</v>
      </c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</row>
    <row r="234" spans="1:85" s="12" customFormat="1" x14ac:dyDescent="0.2">
      <c r="A234" s="159" t="s">
        <v>7</v>
      </c>
      <c r="B234" s="160"/>
      <c r="C234" s="160"/>
      <c r="D234" s="160"/>
      <c r="E234" s="160"/>
      <c r="F234" s="160"/>
      <c r="G234" s="160"/>
      <c r="H234" s="160"/>
      <c r="I234" s="56">
        <f>ROUND(SUM(I233:I233),2)</f>
        <v>147.91999999999999</v>
      </c>
      <c r="J234" s="123"/>
      <c r="K234" s="28"/>
      <c r="L234" s="33">
        <v>1.73</v>
      </c>
      <c r="M234" s="3">
        <f>ROUND(I234*L234,2)</f>
        <v>255.9</v>
      </c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</row>
    <row r="235" spans="1:85" s="12" customFormat="1" x14ac:dyDescent="0.2">
      <c r="A235" s="15"/>
      <c r="B235" s="61"/>
      <c r="C235" s="61"/>
      <c r="D235" s="61"/>
      <c r="E235" s="61"/>
      <c r="F235" s="61"/>
      <c r="G235" s="61"/>
      <c r="H235" s="61"/>
      <c r="J235" s="10"/>
      <c r="K235" s="28"/>
      <c r="L235" s="39"/>
      <c r="M235" s="3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</row>
    <row r="236" spans="1:85" s="12" customFormat="1" ht="12" customHeight="1" x14ac:dyDescent="0.2">
      <c r="A236" s="52" t="s">
        <v>3</v>
      </c>
      <c r="B236" s="84" t="s">
        <v>121</v>
      </c>
      <c r="C236" s="51"/>
      <c r="D236" s="86" t="s">
        <v>42</v>
      </c>
      <c r="E236" s="87"/>
      <c r="F236" s="87"/>
      <c r="G236" s="87"/>
      <c r="H236" s="87"/>
      <c r="I236" s="87"/>
      <c r="J236" s="88"/>
      <c r="K236" s="28"/>
      <c r="L236" s="39"/>
      <c r="M236" s="3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</row>
    <row r="237" spans="1:85" s="12" customFormat="1" x14ac:dyDescent="0.2">
      <c r="A237" s="52" t="s">
        <v>4</v>
      </c>
      <c r="B237" s="54"/>
      <c r="C237" s="55"/>
      <c r="D237" s="89"/>
      <c r="E237" s="90"/>
      <c r="F237" s="90"/>
      <c r="G237" s="90"/>
      <c r="H237" s="90"/>
      <c r="I237" s="90"/>
      <c r="J237" s="91"/>
      <c r="K237" s="28"/>
      <c r="L237" s="39"/>
      <c r="M237" s="3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</row>
    <row r="238" spans="1:85" s="12" customFormat="1" x14ac:dyDescent="0.2">
      <c r="A238" s="112" t="s">
        <v>5</v>
      </c>
      <c r="B238" s="113"/>
      <c r="C238" s="116" t="s">
        <v>89</v>
      </c>
      <c r="D238" s="120" t="s">
        <v>35</v>
      </c>
      <c r="E238" s="120" t="s">
        <v>41</v>
      </c>
      <c r="F238" s="120" t="s">
        <v>32</v>
      </c>
      <c r="G238" s="116"/>
      <c r="H238" s="118"/>
      <c r="I238" s="120" t="s">
        <v>23</v>
      </c>
      <c r="J238" s="122" t="s">
        <v>6</v>
      </c>
      <c r="K238" s="28"/>
      <c r="L238" s="39"/>
      <c r="M238" s="3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</row>
    <row r="239" spans="1:85" s="12" customFormat="1" x14ac:dyDescent="0.2">
      <c r="A239" s="114"/>
      <c r="B239" s="115"/>
      <c r="C239" s="117"/>
      <c r="D239" s="121"/>
      <c r="E239" s="121"/>
      <c r="F239" s="121"/>
      <c r="G239" s="117"/>
      <c r="H239" s="119"/>
      <c r="I239" s="121"/>
      <c r="J239" s="123"/>
      <c r="K239" s="28"/>
      <c r="L239" s="39"/>
      <c r="M239" s="3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</row>
    <row r="240" spans="1:85" s="12" customFormat="1" x14ac:dyDescent="0.2">
      <c r="A240" s="157"/>
      <c r="B240" s="158"/>
      <c r="C240" s="20"/>
      <c r="D240" s="23">
        <f>D233</f>
        <v>153.28</v>
      </c>
      <c r="E240" s="40">
        <v>1.167</v>
      </c>
      <c r="F240" s="24">
        <v>5</v>
      </c>
      <c r="G240" s="23"/>
      <c r="H240" s="21"/>
      <c r="I240" s="4">
        <f>ROUND(D240*E240*F240,2)</f>
        <v>894.39</v>
      </c>
      <c r="J240" s="122" t="s">
        <v>101</v>
      </c>
      <c r="K240" s="28"/>
      <c r="L240" s="39"/>
      <c r="M240" s="3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</row>
    <row r="241" spans="1:85" s="12" customFormat="1" x14ac:dyDescent="0.2">
      <c r="A241" s="159" t="s">
        <v>7</v>
      </c>
      <c r="B241" s="160"/>
      <c r="C241" s="160"/>
      <c r="D241" s="160"/>
      <c r="E241" s="160"/>
      <c r="F241" s="160"/>
      <c r="G241" s="160"/>
      <c r="H241" s="160"/>
      <c r="I241" s="56">
        <f>ROUND(SUM(I240:I240),2)</f>
        <v>894.39</v>
      </c>
      <c r="J241" s="123"/>
      <c r="K241" s="28"/>
      <c r="L241" s="39"/>
      <c r="M241" s="3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</row>
    <row r="242" spans="1:85" s="12" customFormat="1" x14ac:dyDescent="0.2">
      <c r="A242" s="11"/>
      <c r="J242" s="13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</row>
    <row r="243" spans="1:85" s="12" customFormat="1" x14ac:dyDescent="0.2">
      <c r="A243" s="52" t="s">
        <v>3</v>
      </c>
      <c r="B243" s="84" t="s">
        <v>122</v>
      </c>
      <c r="C243" s="51"/>
      <c r="D243" s="86" t="s">
        <v>148</v>
      </c>
      <c r="E243" s="87"/>
      <c r="F243" s="87"/>
      <c r="G243" s="87"/>
      <c r="H243" s="87"/>
      <c r="I243" s="87"/>
      <c r="J243" s="88"/>
      <c r="K243" s="28"/>
      <c r="L243" s="39"/>
      <c r="M243" s="3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</row>
    <row r="244" spans="1:85" s="12" customFormat="1" ht="19.5" customHeight="1" x14ac:dyDescent="0.2">
      <c r="A244" s="52" t="s">
        <v>4</v>
      </c>
      <c r="B244" s="54"/>
      <c r="C244" s="55"/>
      <c r="D244" s="89"/>
      <c r="E244" s="90"/>
      <c r="F244" s="90"/>
      <c r="G244" s="90"/>
      <c r="H244" s="90"/>
      <c r="I244" s="90"/>
      <c r="J244" s="91"/>
      <c r="K244" s="28"/>
      <c r="L244" s="39"/>
      <c r="M244" s="3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</row>
    <row r="245" spans="1:85" s="12" customFormat="1" x14ac:dyDescent="0.2">
      <c r="A245" s="112" t="s">
        <v>5</v>
      </c>
      <c r="B245" s="113"/>
      <c r="C245" s="116" t="s">
        <v>89</v>
      </c>
      <c r="D245" s="120" t="s">
        <v>35</v>
      </c>
      <c r="E245" s="120" t="s">
        <v>138</v>
      </c>
      <c r="F245" s="120" t="s">
        <v>32</v>
      </c>
      <c r="G245" s="116"/>
      <c r="H245" s="118"/>
      <c r="I245" s="120" t="s">
        <v>139</v>
      </c>
      <c r="J245" s="122" t="s">
        <v>6</v>
      </c>
      <c r="K245" s="28"/>
      <c r="L245" s="39"/>
      <c r="M245" s="3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</row>
    <row r="246" spans="1:85" s="12" customFormat="1" x14ac:dyDescent="0.2">
      <c r="A246" s="114"/>
      <c r="B246" s="115"/>
      <c r="C246" s="117"/>
      <c r="D246" s="121"/>
      <c r="E246" s="121"/>
      <c r="F246" s="121"/>
      <c r="G246" s="117"/>
      <c r="H246" s="119"/>
      <c r="I246" s="121"/>
      <c r="J246" s="123"/>
      <c r="K246" s="28"/>
      <c r="L246" s="39"/>
      <c r="M246" s="3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</row>
    <row r="247" spans="1:85" s="12" customFormat="1" x14ac:dyDescent="0.2">
      <c r="A247" s="101"/>
      <c r="B247" s="102"/>
      <c r="C247" s="1"/>
      <c r="D247" s="59">
        <f>I220</f>
        <v>153.28</v>
      </c>
      <c r="E247" s="41">
        <v>0.16800000000000001</v>
      </c>
      <c r="F247" s="18">
        <v>431</v>
      </c>
      <c r="G247" s="59"/>
      <c r="H247" s="46"/>
      <c r="I247" s="4">
        <f>ROUND(D247*E247*F247,2)</f>
        <v>11098.7</v>
      </c>
      <c r="J247" s="122" t="s">
        <v>140</v>
      </c>
      <c r="K247" s="28"/>
      <c r="L247" s="39"/>
      <c r="M247" s="3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</row>
    <row r="248" spans="1:85" s="12" customFormat="1" x14ac:dyDescent="0.2">
      <c r="A248" s="106" t="s">
        <v>7</v>
      </c>
      <c r="B248" s="107"/>
      <c r="C248" s="107"/>
      <c r="D248" s="107"/>
      <c r="E248" s="107"/>
      <c r="F248" s="107"/>
      <c r="G248" s="107"/>
      <c r="H248" s="108"/>
      <c r="I248" s="56">
        <f>ROUND(SUM(I247:I247),2)</f>
        <v>11098.7</v>
      </c>
      <c r="J248" s="123"/>
      <c r="K248" s="28"/>
      <c r="L248" s="39"/>
      <c r="M248" s="3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</row>
    <row r="249" spans="1:85" s="12" customFormat="1" x14ac:dyDescent="0.2">
      <c r="A249" s="11"/>
      <c r="J249" s="13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</row>
    <row r="250" spans="1:85" s="12" customFormat="1" x14ac:dyDescent="0.2">
      <c r="A250" s="103" t="s">
        <v>123</v>
      </c>
      <c r="B250" s="104"/>
      <c r="C250" s="104"/>
      <c r="D250" s="104"/>
      <c r="E250" s="104"/>
      <c r="F250" s="104"/>
      <c r="G250" s="104"/>
      <c r="H250" s="104"/>
      <c r="I250" s="104"/>
      <c r="J250" s="105"/>
    </row>
    <row r="251" spans="1:85" s="12" customFormat="1" x14ac:dyDescent="0.2">
      <c r="A251" s="11"/>
      <c r="J251" s="13"/>
    </row>
    <row r="252" spans="1:85" s="12" customFormat="1" ht="12" customHeight="1" x14ac:dyDescent="0.2">
      <c r="A252" s="52" t="s">
        <v>3</v>
      </c>
      <c r="B252" s="84" t="s">
        <v>124</v>
      </c>
      <c r="C252" s="51"/>
      <c r="D252" s="86" t="s">
        <v>29</v>
      </c>
      <c r="E252" s="87"/>
      <c r="F252" s="87"/>
      <c r="G252" s="87"/>
      <c r="H252" s="87"/>
      <c r="I252" s="87"/>
      <c r="J252" s="88"/>
    </row>
    <row r="253" spans="1:85" s="12" customFormat="1" x14ac:dyDescent="0.2">
      <c r="A253" s="52" t="s">
        <v>4</v>
      </c>
      <c r="B253" s="54"/>
      <c r="C253" s="55"/>
      <c r="D253" s="89"/>
      <c r="E253" s="90"/>
      <c r="F253" s="90"/>
      <c r="G253" s="90"/>
      <c r="H253" s="90"/>
      <c r="I253" s="90"/>
      <c r="J253" s="91"/>
    </row>
    <row r="254" spans="1:85" s="12" customFormat="1" x14ac:dyDescent="0.2">
      <c r="A254" s="112" t="s">
        <v>5</v>
      </c>
      <c r="B254" s="113"/>
      <c r="C254" s="116" t="s">
        <v>89</v>
      </c>
      <c r="D254" s="116" t="s">
        <v>73</v>
      </c>
      <c r="E254" s="116"/>
      <c r="F254" s="116"/>
      <c r="G254" s="116" t="s">
        <v>10</v>
      </c>
      <c r="H254" s="118"/>
      <c r="I254" s="120" t="s">
        <v>13</v>
      </c>
      <c r="J254" s="122" t="s">
        <v>6</v>
      </c>
    </row>
    <row r="255" spans="1:85" s="12" customFormat="1" x14ac:dyDescent="0.2">
      <c r="A255" s="114"/>
      <c r="B255" s="115"/>
      <c r="C255" s="117"/>
      <c r="D255" s="117"/>
      <c r="E255" s="117"/>
      <c r="F255" s="117"/>
      <c r="G255" s="117"/>
      <c r="H255" s="119"/>
      <c r="I255" s="121"/>
      <c r="J255" s="123"/>
    </row>
    <row r="256" spans="1:85" s="12" customFormat="1" ht="24" x14ac:dyDescent="0.2">
      <c r="A256" s="101" t="str">
        <f t="shared" ref="A256:A264" si="38">A211</f>
        <v>RUA BRUNO AVELINO</v>
      </c>
      <c r="B256" s="102"/>
      <c r="C256" s="22" t="s">
        <v>65</v>
      </c>
      <c r="D256" s="2">
        <f>89.77+29.96+50.28+17.74+36.28+36.32+18.63+52.05+36.81+89.61</f>
        <v>457.45000000000005</v>
      </c>
      <c r="E256" s="2"/>
      <c r="F256" s="45"/>
      <c r="G256" s="2">
        <v>1</v>
      </c>
      <c r="H256" s="50"/>
      <c r="I256" s="4">
        <f>ROUND(D256*G256,2)</f>
        <v>457.45</v>
      </c>
      <c r="J256" s="122"/>
    </row>
    <row r="257" spans="1:13" s="12" customFormat="1" x14ac:dyDescent="0.2">
      <c r="A257" s="101" t="str">
        <f t="shared" si="38"/>
        <v>AVENIDA JOSE DUARTE</v>
      </c>
      <c r="B257" s="102"/>
      <c r="C257" s="22" t="s">
        <v>66</v>
      </c>
      <c r="D257" s="2">
        <f>54.73+51.88+52.98+52.98</f>
        <v>212.57</v>
      </c>
      <c r="E257" s="2"/>
      <c r="F257" s="45"/>
      <c r="G257" s="2">
        <v>1</v>
      </c>
      <c r="H257" s="50"/>
      <c r="I257" s="4">
        <f t="shared" ref="I257:I265" si="39">ROUND(D257*G257,2)</f>
        <v>212.57</v>
      </c>
      <c r="J257" s="124"/>
    </row>
    <row r="258" spans="1:13" s="12" customFormat="1" x14ac:dyDescent="0.2">
      <c r="A258" s="101" t="str">
        <f t="shared" si="38"/>
        <v>RUA A</v>
      </c>
      <c r="B258" s="102"/>
      <c r="C258" s="22" t="s">
        <v>76</v>
      </c>
      <c r="D258" s="2">
        <f>131.14+62.3+61.92+2.06</f>
        <v>257.42</v>
      </c>
      <c r="E258" s="2"/>
      <c r="F258" s="45"/>
      <c r="G258" s="2">
        <v>1</v>
      </c>
      <c r="H258" s="50"/>
      <c r="I258" s="4">
        <f t="shared" si="39"/>
        <v>257.42</v>
      </c>
      <c r="J258" s="124"/>
    </row>
    <row r="259" spans="1:13" s="12" customFormat="1" x14ac:dyDescent="0.2">
      <c r="A259" s="101" t="str">
        <f t="shared" si="38"/>
        <v xml:space="preserve">RUA JUSTINO DUARTE TRECHO </v>
      </c>
      <c r="B259" s="102"/>
      <c r="C259" s="22" t="s">
        <v>67</v>
      </c>
      <c r="D259" s="2">
        <f>109.7+109.7</f>
        <v>219.4</v>
      </c>
      <c r="E259" s="2"/>
      <c r="F259" s="45"/>
      <c r="G259" s="2">
        <v>1</v>
      </c>
      <c r="H259" s="50"/>
      <c r="I259" s="4">
        <f t="shared" si="39"/>
        <v>219.4</v>
      </c>
      <c r="J259" s="124"/>
    </row>
    <row r="260" spans="1:13" s="12" customFormat="1" x14ac:dyDescent="0.2">
      <c r="A260" s="101" t="str">
        <f t="shared" si="38"/>
        <v xml:space="preserve">RUA E </v>
      </c>
      <c r="B260" s="102"/>
      <c r="C260" s="22" t="s">
        <v>68</v>
      </c>
      <c r="D260" s="2">
        <f>60.75+57.14+4.91+2.15</f>
        <v>124.95</v>
      </c>
      <c r="E260" s="2"/>
      <c r="F260" s="45"/>
      <c r="G260" s="2">
        <v>1</v>
      </c>
      <c r="H260" s="50"/>
      <c r="I260" s="4">
        <f t="shared" si="39"/>
        <v>124.95</v>
      </c>
      <c r="J260" s="124"/>
    </row>
    <row r="261" spans="1:13" s="12" customFormat="1" x14ac:dyDescent="0.2">
      <c r="A261" s="101" t="str">
        <f t="shared" si="38"/>
        <v>AVENIDA MONTES CLAROS</v>
      </c>
      <c r="B261" s="102"/>
      <c r="C261" s="22" t="s">
        <v>69</v>
      </c>
      <c r="D261" s="2">
        <f>17.32+17.78</f>
        <v>35.1</v>
      </c>
      <c r="E261" s="2"/>
      <c r="F261" s="45"/>
      <c r="G261" s="2">
        <v>1</v>
      </c>
      <c r="H261" s="50"/>
      <c r="I261" s="4">
        <f t="shared" si="39"/>
        <v>35.1</v>
      </c>
      <c r="J261" s="124"/>
    </row>
    <row r="262" spans="1:13" s="12" customFormat="1" x14ac:dyDescent="0.2">
      <c r="A262" s="101" t="str">
        <f t="shared" si="38"/>
        <v>RUA PEDRO DUARTE</v>
      </c>
      <c r="B262" s="102"/>
      <c r="C262" s="22" t="s">
        <v>70</v>
      </c>
      <c r="D262" s="2">
        <f>5.05+14.69+4.91+13.55</f>
        <v>38.200000000000003</v>
      </c>
      <c r="E262" s="2"/>
      <c r="F262" s="45"/>
      <c r="G262" s="2">
        <v>1</v>
      </c>
      <c r="H262" s="50"/>
      <c r="I262" s="4">
        <f t="shared" si="39"/>
        <v>38.200000000000003</v>
      </c>
      <c r="J262" s="124"/>
    </row>
    <row r="263" spans="1:13" s="12" customFormat="1" x14ac:dyDescent="0.2">
      <c r="A263" s="101" t="str">
        <f t="shared" si="38"/>
        <v xml:space="preserve">RUA B </v>
      </c>
      <c r="B263" s="102"/>
      <c r="C263" s="22" t="s">
        <v>71</v>
      </c>
      <c r="D263" s="2">
        <f>26.7+64.45+103.61</f>
        <v>194.76</v>
      </c>
      <c r="E263" s="2"/>
      <c r="F263" s="45"/>
      <c r="G263" s="2">
        <v>1</v>
      </c>
      <c r="H263" s="50"/>
      <c r="I263" s="4">
        <f t="shared" si="39"/>
        <v>194.76</v>
      </c>
      <c r="J263" s="124"/>
    </row>
    <row r="264" spans="1:13" s="12" customFormat="1" ht="24" x14ac:dyDescent="0.2">
      <c r="A264" s="101" t="str">
        <f t="shared" si="38"/>
        <v>RUA EUGENIO DOS SANTOS</v>
      </c>
      <c r="B264" s="102"/>
      <c r="C264" s="22" t="s">
        <v>72</v>
      </c>
      <c r="D264" s="2">
        <f>35.03+14.03+30.9+23.82+8.29+51.19+34.45</f>
        <v>197.70999999999998</v>
      </c>
      <c r="E264" s="2"/>
      <c r="F264" s="45"/>
      <c r="G264" s="2">
        <v>1</v>
      </c>
      <c r="H264" s="50"/>
      <c r="I264" s="4">
        <f t="shared" si="39"/>
        <v>197.71</v>
      </c>
      <c r="J264" s="124"/>
    </row>
    <row r="265" spans="1:13" s="12" customFormat="1" ht="24" x14ac:dyDescent="0.2">
      <c r="A265" s="101" t="s">
        <v>84</v>
      </c>
      <c r="B265" s="102"/>
      <c r="C265" s="22" t="s">
        <v>136</v>
      </c>
      <c r="D265" s="2">
        <f>5.7+6.6+8.73+6.74+10.53+6.66+7.66+9.18</f>
        <v>61.800000000000004</v>
      </c>
      <c r="E265" s="2"/>
      <c r="F265" s="45"/>
      <c r="G265" s="2">
        <v>1</v>
      </c>
      <c r="H265" s="50"/>
      <c r="I265" s="4">
        <f t="shared" si="39"/>
        <v>61.8</v>
      </c>
      <c r="J265" s="124"/>
    </row>
    <row r="266" spans="1:13" s="12" customFormat="1" x14ac:dyDescent="0.2">
      <c r="A266" s="106" t="s">
        <v>7</v>
      </c>
      <c r="B266" s="107"/>
      <c r="C266" s="107"/>
      <c r="D266" s="107"/>
      <c r="E266" s="107"/>
      <c r="F266" s="107"/>
      <c r="G266" s="107"/>
      <c r="H266" s="108"/>
      <c r="I266" s="56">
        <f>ROUND(SUM(I256:I265),2)</f>
        <v>1799.36</v>
      </c>
      <c r="J266" s="123"/>
      <c r="L266" s="33">
        <v>89.31</v>
      </c>
      <c r="M266" s="3">
        <f>ROUND(I266*L266,2)</f>
        <v>160700.84</v>
      </c>
    </row>
    <row r="267" spans="1:13" s="12" customFormat="1" x14ac:dyDescent="0.2">
      <c r="A267" s="11"/>
      <c r="J267" s="13"/>
    </row>
    <row r="268" spans="1:13" s="12" customFormat="1" ht="12" customHeight="1" x14ac:dyDescent="0.2">
      <c r="A268" s="52" t="s">
        <v>3</v>
      </c>
      <c r="B268" s="84" t="s">
        <v>125</v>
      </c>
      <c r="C268" s="51"/>
      <c r="D268" s="86" t="s">
        <v>28</v>
      </c>
      <c r="E268" s="87"/>
      <c r="F268" s="87"/>
      <c r="G268" s="87"/>
      <c r="H268" s="87"/>
      <c r="I268" s="87"/>
      <c r="J268" s="88"/>
    </row>
    <row r="269" spans="1:13" s="12" customFormat="1" x14ac:dyDescent="0.2">
      <c r="A269" s="52" t="s">
        <v>4</v>
      </c>
      <c r="B269" s="54"/>
      <c r="C269" s="55"/>
      <c r="D269" s="89"/>
      <c r="E269" s="90"/>
      <c r="F269" s="90"/>
      <c r="G269" s="90"/>
      <c r="H269" s="90"/>
      <c r="I269" s="90"/>
      <c r="J269" s="91"/>
    </row>
    <row r="270" spans="1:13" s="12" customFormat="1" x14ac:dyDescent="0.2">
      <c r="A270" s="112" t="s">
        <v>5</v>
      </c>
      <c r="B270" s="113"/>
      <c r="C270" s="116" t="s">
        <v>89</v>
      </c>
      <c r="D270" s="116" t="s">
        <v>9</v>
      </c>
      <c r="E270" s="116"/>
      <c r="F270" s="116"/>
      <c r="G270" s="116" t="s">
        <v>10</v>
      </c>
      <c r="H270" s="118"/>
      <c r="I270" s="120" t="s">
        <v>13</v>
      </c>
      <c r="J270" s="122" t="s">
        <v>6</v>
      </c>
    </row>
    <row r="271" spans="1:13" s="12" customFormat="1" x14ac:dyDescent="0.2">
      <c r="A271" s="114"/>
      <c r="B271" s="115"/>
      <c r="C271" s="117"/>
      <c r="D271" s="117"/>
      <c r="E271" s="117"/>
      <c r="F271" s="117"/>
      <c r="G271" s="117"/>
      <c r="H271" s="119"/>
      <c r="I271" s="121"/>
      <c r="J271" s="123"/>
    </row>
    <row r="272" spans="1:13" s="12" customFormat="1" x14ac:dyDescent="0.2">
      <c r="A272" s="101" t="str">
        <f t="shared" ref="A272:A280" si="40">A256</f>
        <v>RUA BRUNO AVELINO</v>
      </c>
      <c r="B272" s="102"/>
      <c r="C272" s="22" t="s">
        <v>74</v>
      </c>
      <c r="D272" s="2">
        <f>5.7+2.15+1.24+1.32+1.8+3.4</f>
        <v>15.610000000000001</v>
      </c>
      <c r="E272" s="2"/>
      <c r="F272" s="45"/>
      <c r="G272" s="2">
        <v>1</v>
      </c>
      <c r="H272" s="50"/>
      <c r="I272" s="4">
        <f>ROUND(D272*G272,2)</f>
        <v>15.61</v>
      </c>
      <c r="J272" s="122"/>
    </row>
    <row r="273" spans="1:13" s="12" customFormat="1" x14ac:dyDescent="0.2">
      <c r="A273" s="101" t="str">
        <f t="shared" si="40"/>
        <v>AVENIDA JOSE DUARTE</v>
      </c>
      <c r="B273" s="102"/>
      <c r="C273" s="22" t="s">
        <v>75</v>
      </c>
      <c r="D273" s="2">
        <f>1.94+1.82+1.34</f>
        <v>5.0999999999999996</v>
      </c>
      <c r="E273" s="2"/>
      <c r="F273" s="45"/>
      <c r="G273" s="2">
        <v>1</v>
      </c>
      <c r="H273" s="50"/>
      <c r="I273" s="4">
        <f t="shared" ref="I273:I280" si="41">ROUND(D273*G273,2)</f>
        <v>5.0999999999999996</v>
      </c>
      <c r="J273" s="124"/>
    </row>
    <row r="274" spans="1:13" s="12" customFormat="1" x14ac:dyDescent="0.2">
      <c r="A274" s="101" t="str">
        <f t="shared" si="40"/>
        <v>RUA A</v>
      </c>
      <c r="B274" s="102"/>
      <c r="C274" s="22" t="s">
        <v>77</v>
      </c>
      <c r="D274" s="2">
        <f>1.25+1.99+1.52+1.62+1.61+3.05</f>
        <v>11.04</v>
      </c>
      <c r="E274" s="2"/>
      <c r="F274" s="45"/>
      <c r="G274" s="2">
        <v>1</v>
      </c>
      <c r="H274" s="50"/>
      <c r="I274" s="4">
        <f t="shared" si="41"/>
        <v>11.04</v>
      </c>
      <c r="J274" s="124"/>
    </row>
    <row r="275" spans="1:13" s="12" customFormat="1" x14ac:dyDescent="0.2">
      <c r="A275" s="101" t="str">
        <f t="shared" si="40"/>
        <v xml:space="preserve">RUA JUSTINO DUARTE TRECHO </v>
      </c>
      <c r="B275" s="102"/>
      <c r="C275" s="22" t="s">
        <v>78</v>
      </c>
      <c r="D275" s="2">
        <f>2.37+2.4</f>
        <v>4.7699999999999996</v>
      </c>
      <c r="E275" s="2"/>
      <c r="F275" s="45"/>
      <c r="G275" s="2">
        <v>1</v>
      </c>
      <c r="H275" s="50"/>
      <c r="I275" s="4">
        <f t="shared" si="41"/>
        <v>4.7699999999999996</v>
      </c>
      <c r="J275" s="124"/>
    </row>
    <row r="276" spans="1:13" s="12" customFormat="1" x14ac:dyDescent="0.2">
      <c r="A276" s="101" t="str">
        <f t="shared" si="40"/>
        <v xml:space="preserve">RUA E </v>
      </c>
      <c r="B276" s="102"/>
      <c r="C276" s="22" t="s">
        <v>79</v>
      </c>
      <c r="D276" s="2">
        <f>2.24+1.81</f>
        <v>4.0500000000000007</v>
      </c>
      <c r="E276" s="2"/>
      <c r="F276" s="45"/>
      <c r="G276" s="2">
        <v>1</v>
      </c>
      <c r="H276" s="50"/>
      <c r="I276" s="4">
        <f t="shared" si="41"/>
        <v>4.05</v>
      </c>
      <c r="J276" s="124"/>
    </row>
    <row r="277" spans="1:13" s="12" customFormat="1" x14ac:dyDescent="0.2">
      <c r="A277" s="101" t="str">
        <f t="shared" si="40"/>
        <v>AVENIDA MONTES CLAROS</v>
      </c>
      <c r="B277" s="102"/>
      <c r="C277" s="22" t="s">
        <v>80</v>
      </c>
      <c r="D277" s="2">
        <f>1.58+1.55</f>
        <v>3.13</v>
      </c>
      <c r="E277" s="2"/>
      <c r="F277" s="45"/>
      <c r="G277" s="2">
        <v>1</v>
      </c>
      <c r="H277" s="50"/>
      <c r="I277" s="4">
        <f t="shared" si="41"/>
        <v>3.13</v>
      </c>
      <c r="J277" s="124"/>
    </row>
    <row r="278" spans="1:13" s="12" customFormat="1" x14ac:dyDescent="0.2">
      <c r="A278" s="101" t="str">
        <f t="shared" si="40"/>
        <v>RUA PEDRO DUARTE</v>
      </c>
      <c r="B278" s="102"/>
      <c r="C278" s="22">
        <v>1.63</v>
      </c>
      <c r="D278" s="2">
        <v>1.63</v>
      </c>
      <c r="E278" s="2"/>
      <c r="F278" s="45"/>
      <c r="G278" s="2">
        <v>1</v>
      </c>
      <c r="H278" s="50"/>
      <c r="I278" s="4">
        <f t="shared" si="41"/>
        <v>1.63</v>
      </c>
      <c r="J278" s="124"/>
    </row>
    <row r="279" spans="1:13" s="12" customFormat="1" x14ac:dyDescent="0.2">
      <c r="A279" s="101" t="str">
        <f t="shared" si="40"/>
        <v xml:space="preserve">RUA B </v>
      </c>
      <c r="B279" s="102"/>
      <c r="C279" s="22" t="s">
        <v>81</v>
      </c>
      <c r="D279" s="2">
        <f>1.63+1.58</f>
        <v>3.21</v>
      </c>
      <c r="E279" s="2"/>
      <c r="F279" s="45"/>
      <c r="G279" s="2">
        <v>1</v>
      </c>
      <c r="H279" s="50"/>
      <c r="I279" s="4">
        <f t="shared" si="41"/>
        <v>3.21</v>
      </c>
      <c r="J279" s="124"/>
    </row>
    <row r="280" spans="1:13" s="12" customFormat="1" x14ac:dyDescent="0.2">
      <c r="A280" s="101" t="str">
        <f t="shared" si="40"/>
        <v>RUA EUGENIO DOS SANTOS</v>
      </c>
      <c r="B280" s="102"/>
      <c r="C280" s="22" t="s">
        <v>82</v>
      </c>
      <c r="D280" s="2">
        <f>1.52+1.62</f>
        <v>3.14</v>
      </c>
      <c r="E280" s="2"/>
      <c r="F280" s="45"/>
      <c r="G280" s="2">
        <v>1</v>
      </c>
      <c r="H280" s="50"/>
      <c r="I280" s="4">
        <f t="shared" si="41"/>
        <v>3.14</v>
      </c>
      <c r="J280" s="124"/>
    </row>
    <row r="281" spans="1:13" s="12" customFormat="1" x14ac:dyDescent="0.2">
      <c r="A281" s="106" t="s">
        <v>7</v>
      </c>
      <c r="B281" s="107"/>
      <c r="C281" s="107"/>
      <c r="D281" s="107"/>
      <c r="E281" s="107"/>
      <c r="F281" s="107"/>
      <c r="G281" s="107"/>
      <c r="H281" s="108"/>
      <c r="I281" s="56">
        <f>ROUND(SUM(I272:I280),2)</f>
        <v>51.68</v>
      </c>
      <c r="J281" s="123"/>
      <c r="L281" s="33">
        <v>94</v>
      </c>
      <c r="M281" s="3">
        <f>ROUND(I281*L281,2)</f>
        <v>4857.92</v>
      </c>
    </row>
    <row r="282" spans="1:13" s="12" customFormat="1" x14ac:dyDescent="0.2">
      <c r="A282" s="11"/>
      <c r="J282" s="13"/>
    </row>
    <row r="283" spans="1:13" s="12" customFormat="1" ht="12" customHeight="1" x14ac:dyDescent="0.2">
      <c r="A283" s="52" t="s">
        <v>3</v>
      </c>
      <c r="B283" s="84" t="s">
        <v>126</v>
      </c>
      <c r="C283" s="51"/>
      <c r="D283" s="86" t="s">
        <v>14</v>
      </c>
      <c r="E283" s="87"/>
      <c r="F283" s="87"/>
      <c r="G283" s="87"/>
      <c r="H283" s="87"/>
      <c r="I283" s="87"/>
      <c r="J283" s="88"/>
    </row>
    <row r="284" spans="1:13" s="12" customFormat="1" x14ac:dyDescent="0.2">
      <c r="A284" s="52" t="s">
        <v>4</v>
      </c>
      <c r="B284" s="54"/>
      <c r="C284" s="55"/>
      <c r="D284" s="89"/>
      <c r="E284" s="90"/>
      <c r="F284" s="90"/>
      <c r="G284" s="90"/>
      <c r="H284" s="90"/>
      <c r="I284" s="90"/>
      <c r="J284" s="91"/>
    </row>
    <row r="285" spans="1:13" s="12" customFormat="1" x14ac:dyDescent="0.2">
      <c r="A285" s="112" t="s">
        <v>5</v>
      </c>
      <c r="B285" s="113"/>
      <c r="C285" s="116" t="s">
        <v>89</v>
      </c>
      <c r="D285" s="116" t="s">
        <v>9</v>
      </c>
      <c r="E285" s="116"/>
      <c r="F285" s="116"/>
      <c r="G285" s="116" t="s">
        <v>10</v>
      </c>
      <c r="H285" s="118"/>
      <c r="I285" s="120" t="s">
        <v>13</v>
      </c>
      <c r="J285" s="122" t="s">
        <v>6</v>
      </c>
    </row>
    <row r="286" spans="1:13" s="12" customFormat="1" x14ac:dyDescent="0.2">
      <c r="A286" s="114"/>
      <c r="B286" s="115"/>
      <c r="C286" s="117"/>
      <c r="D286" s="117"/>
      <c r="E286" s="117"/>
      <c r="F286" s="117"/>
      <c r="G286" s="117"/>
      <c r="H286" s="119"/>
      <c r="I286" s="121"/>
      <c r="J286" s="123"/>
    </row>
    <row r="287" spans="1:13" s="12" customFormat="1" ht="24" x14ac:dyDescent="0.2">
      <c r="A287" s="101" t="str">
        <f t="shared" ref="A287:A295" si="42">A272</f>
        <v>RUA BRUNO AVELINO</v>
      </c>
      <c r="B287" s="102"/>
      <c r="C287" s="22" t="s">
        <v>65</v>
      </c>
      <c r="D287" s="2">
        <f>89.77+29.96+50.28+17.74+36.28+36.32+18.63+52.05+36.81+89.61</f>
        <v>457.45000000000005</v>
      </c>
      <c r="E287" s="2"/>
      <c r="F287" s="45"/>
      <c r="G287" s="2">
        <v>1</v>
      </c>
      <c r="H287" s="50"/>
      <c r="I287" s="4">
        <f>ROUND(D287*G287,2)</f>
        <v>457.45</v>
      </c>
      <c r="J287" s="122"/>
    </row>
    <row r="288" spans="1:13" s="12" customFormat="1" x14ac:dyDescent="0.2">
      <c r="A288" s="101" t="str">
        <f t="shared" si="42"/>
        <v>AVENIDA JOSE DUARTE</v>
      </c>
      <c r="B288" s="102"/>
      <c r="C288" s="22" t="s">
        <v>83</v>
      </c>
      <c r="D288" s="2">
        <f>54.73+51.88</f>
        <v>106.61</v>
      </c>
      <c r="E288" s="2"/>
      <c r="F288" s="45"/>
      <c r="G288" s="2">
        <v>1</v>
      </c>
      <c r="H288" s="50"/>
      <c r="I288" s="4">
        <f t="shared" ref="I288:I295" si="43">ROUND(D288*G288,2)</f>
        <v>106.61</v>
      </c>
      <c r="J288" s="124"/>
    </row>
    <row r="289" spans="1:13" s="12" customFormat="1" x14ac:dyDescent="0.2">
      <c r="A289" s="101" t="str">
        <f t="shared" si="42"/>
        <v>RUA A</v>
      </c>
      <c r="B289" s="102"/>
      <c r="C289" s="22" t="s">
        <v>76</v>
      </c>
      <c r="D289" s="2">
        <f>131.14+62.3+61.92+2.06</f>
        <v>257.42</v>
      </c>
      <c r="E289" s="2"/>
      <c r="F289" s="45"/>
      <c r="G289" s="2">
        <v>1</v>
      </c>
      <c r="H289" s="50"/>
      <c r="I289" s="4">
        <f t="shared" si="43"/>
        <v>257.42</v>
      </c>
      <c r="J289" s="124"/>
    </row>
    <row r="290" spans="1:13" s="12" customFormat="1" x14ac:dyDescent="0.2">
      <c r="A290" s="101" t="str">
        <f t="shared" si="42"/>
        <v xml:space="preserve">RUA JUSTINO DUARTE TRECHO </v>
      </c>
      <c r="B290" s="102"/>
      <c r="C290" s="22" t="s">
        <v>67</v>
      </c>
      <c r="D290" s="2">
        <f>109.7+109.7</f>
        <v>219.4</v>
      </c>
      <c r="E290" s="2"/>
      <c r="F290" s="45"/>
      <c r="G290" s="2">
        <v>1</v>
      </c>
      <c r="H290" s="50"/>
      <c r="I290" s="4">
        <f t="shared" si="43"/>
        <v>219.4</v>
      </c>
      <c r="J290" s="124"/>
    </row>
    <row r="291" spans="1:13" s="12" customFormat="1" x14ac:dyDescent="0.2">
      <c r="A291" s="101" t="str">
        <f t="shared" si="42"/>
        <v xml:space="preserve">RUA E </v>
      </c>
      <c r="B291" s="102"/>
      <c r="C291" s="22" t="s">
        <v>68</v>
      </c>
      <c r="D291" s="2">
        <f>60.75+57.14+4.91+2.15</f>
        <v>124.95</v>
      </c>
      <c r="E291" s="2"/>
      <c r="F291" s="45"/>
      <c r="G291" s="2">
        <v>1</v>
      </c>
      <c r="H291" s="50"/>
      <c r="I291" s="4">
        <f t="shared" si="43"/>
        <v>124.95</v>
      </c>
      <c r="J291" s="124"/>
    </row>
    <row r="292" spans="1:13" s="12" customFormat="1" x14ac:dyDescent="0.2">
      <c r="A292" s="101" t="str">
        <f t="shared" si="42"/>
        <v>AVENIDA MONTES CLAROS</v>
      </c>
      <c r="B292" s="102"/>
      <c r="C292" s="22" t="s">
        <v>69</v>
      </c>
      <c r="D292" s="2">
        <f>17.32+17.78</f>
        <v>35.1</v>
      </c>
      <c r="E292" s="2"/>
      <c r="F292" s="45"/>
      <c r="G292" s="2">
        <v>1</v>
      </c>
      <c r="H292" s="50"/>
      <c r="I292" s="4">
        <f t="shared" si="43"/>
        <v>35.1</v>
      </c>
      <c r="J292" s="124"/>
    </row>
    <row r="293" spans="1:13" s="12" customFormat="1" x14ac:dyDescent="0.2">
      <c r="A293" s="101" t="str">
        <f t="shared" si="42"/>
        <v>RUA PEDRO DUARTE</v>
      </c>
      <c r="B293" s="102"/>
      <c r="C293" s="22" t="s">
        <v>70</v>
      </c>
      <c r="D293" s="2">
        <f>5.05+14.69+4.91+13.55</f>
        <v>38.200000000000003</v>
      </c>
      <c r="E293" s="2"/>
      <c r="F293" s="45"/>
      <c r="G293" s="2">
        <v>1</v>
      </c>
      <c r="H293" s="50"/>
      <c r="I293" s="4">
        <f t="shared" si="43"/>
        <v>38.200000000000003</v>
      </c>
      <c r="J293" s="124"/>
    </row>
    <row r="294" spans="1:13" s="12" customFormat="1" x14ac:dyDescent="0.2">
      <c r="A294" s="101" t="str">
        <f t="shared" si="42"/>
        <v xml:space="preserve">RUA B </v>
      </c>
      <c r="B294" s="102"/>
      <c r="C294" s="22" t="s">
        <v>71</v>
      </c>
      <c r="D294" s="2">
        <f>26.7+64.45+103.61</f>
        <v>194.76</v>
      </c>
      <c r="E294" s="2"/>
      <c r="F294" s="45"/>
      <c r="G294" s="2">
        <v>1</v>
      </c>
      <c r="H294" s="50"/>
      <c r="I294" s="4">
        <f t="shared" si="43"/>
        <v>194.76</v>
      </c>
      <c r="J294" s="124"/>
    </row>
    <row r="295" spans="1:13" s="12" customFormat="1" ht="24" x14ac:dyDescent="0.2">
      <c r="A295" s="101" t="str">
        <f t="shared" si="42"/>
        <v>RUA EUGENIO DOS SANTOS</v>
      </c>
      <c r="B295" s="102"/>
      <c r="C295" s="22" t="s">
        <v>72</v>
      </c>
      <c r="D295" s="2">
        <f>35.03+14.03+30.9+23.82+8.29+51.19+34.45</f>
        <v>197.70999999999998</v>
      </c>
      <c r="E295" s="2"/>
      <c r="F295" s="45"/>
      <c r="G295" s="2">
        <v>1</v>
      </c>
      <c r="H295" s="50"/>
      <c r="I295" s="4">
        <f t="shared" si="43"/>
        <v>197.71</v>
      </c>
      <c r="J295" s="124"/>
    </row>
    <row r="296" spans="1:13" s="12" customFormat="1" x14ac:dyDescent="0.2">
      <c r="A296" s="106" t="s">
        <v>7</v>
      </c>
      <c r="B296" s="107"/>
      <c r="C296" s="107"/>
      <c r="D296" s="107"/>
      <c r="E296" s="107"/>
      <c r="F296" s="107"/>
      <c r="G296" s="107"/>
      <c r="H296" s="108"/>
      <c r="I296" s="56">
        <f>ROUND(SUM(I287:I295),2)</f>
        <v>1631.6</v>
      </c>
      <c r="J296" s="123"/>
      <c r="L296" s="33">
        <v>58.42</v>
      </c>
      <c r="M296" s="3">
        <f>ROUND(I296*L296,2)</f>
        <v>95318.07</v>
      </c>
    </row>
    <row r="297" spans="1:13" s="12" customFormat="1" x14ac:dyDescent="0.2">
      <c r="A297" s="11"/>
      <c r="J297" s="13"/>
    </row>
    <row r="298" spans="1:13" s="12" customFormat="1" ht="12" customHeight="1" x14ac:dyDescent="0.2">
      <c r="A298" s="52" t="s">
        <v>3</v>
      </c>
      <c r="B298" s="84" t="s">
        <v>127</v>
      </c>
      <c r="C298" s="51"/>
      <c r="D298" s="86" t="s">
        <v>26</v>
      </c>
      <c r="E298" s="87"/>
      <c r="F298" s="87"/>
      <c r="G298" s="87"/>
      <c r="H298" s="87"/>
      <c r="I298" s="87"/>
      <c r="J298" s="88"/>
    </row>
    <row r="299" spans="1:13" s="12" customFormat="1" x14ac:dyDescent="0.2">
      <c r="A299" s="52" t="s">
        <v>4</v>
      </c>
      <c r="B299" s="54"/>
      <c r="C299" s="55"/>
      <c r="D299" s="89"/>
      <c r="E299" s="90"/>
      <c r="F299" s="90"/>
      <c r="G299" s="90"/>
      <c r="H299" s="90"/>
      <c r="I299" s="90"/>
      <c r="J299" s="91"/>
    </row>
    <row r="300" spans="1:13" s="12" customFormat="1" x14ac:dyDescent="0.2">
      <c r="A300" s="112" t="s">
        <v>5</v>
      </c>
      <c r="B300" s="113"/>
      <c r="C300" s="116" t="s">
        <v>89</v>
      </c>
      <c r="D300" s="116" t="s">
        <v>9</v>
      </c>
      <c r="E300" s="116"/>
      <c r="F300" s="116"/>
      <c r="G300" s="116" t="s">
        <v>10</v>
      </c>
      <c r="H300" s="118"/>
      <c r="I300" s="120" t="s">
        <v>13</v>
      </c>
      <c r="J300" s="122" t="s">
        <v>6</v>
      </c>
    </row>
    <row r="301" spans="1:13" s="12" customFormat="1" x14ac:dyDescent="0.2">
      <c r="A301" s="114"/>
      <c r="B301" s="115"/>
      <c r="C301" s="117"/>
      <c r="D301" s="117"/>
      <c r="E301" s="117"/>
      <c r="F301" s="117"/>
      <c r="G301" s="117"/>
      <c r="H301" s="119"/>
      <c r="I301" s="121"/>
      <c r="J301" s="123"/>
    </row>
    <row r="302" spans="1:13" s="12" customFormat="1" x14ac:dyDescent="0.2">
      <c r="A302" s="101" t="str">
        <f t="shared" ref="A302:A310" si="44">A287</f>
        <v>RUA BRUNO AVELINO</v>
      </c>
      <c r="B302" s="102"/>
      <c r="C302" s="22" t="s">
        <v>74</v>
      </c>
      <c r="D302" s="2">
        <f>5.7+2.15+1.24+1.32+1.8+3.4</f>
        <v>15.610000000000001</v>
      </c>
      <c r="E302" s="2"/>
      <c r="F302" s="45"/>
      <c r="G302" s="2">
        <v>1</v>
      </c>
      <c r="H302" s="50"/>
      <c r="I302" s="4">
        <f t="shared" ref="I302:I310" si="45">ROUND(D302*G302,2)</f>
        <v>15.61</v>
      </c>
      <c r="J302" s="122"/>
    </row>
    <row r="303" spans="1:13" s="12" customFormat="1" x14ac:dyDescent="0.2">
      <c r="A303" s="101" t="str">
        <f t="shared" si="44"/>
        <v>AVENIDA JOSE DUARTE</v>
      </c>
      <c r="B303" s="102"/>
      <c r="C303" s="22">
        <v>1.34</v>
      </c>
      <c r="D303" s="2">
        <v>1.34</v>
      </c>
      <c r="E303" s="2"/>
      <c r="F303" s="45"/>
      <c r="G303" s="2">
        <v>1</v>
      </c>
      <c r="H303" s="50"/>
      <c r="I303" s="4">
        <f t="shared" si="45"/>
        <v>1.34</v>
      </c>
      <c r="J303" s="124"/>
    </row>
    <row r="304" spans="1:13" s="12" customFormat="1" x14ac:dyDescent="0.2">
      <c r="A304" s="101" t="str">
        <f t="shared" si="44"/>
        <v>RUA A</v>
      </c>
      <c r="B304" s="102"/>
      <c r="C304" s="22" t="s">
        <v>77</v>
      </c>
      <c r="D304" s="2">
        <f>1.25+1.99+1.52+1.62+1.61+3.05</f>
        <v>11.04</v>
      </c>
      <c r="E304" s="2"/>
      <c r="F304" s="45"/>
      <c r="G304" s="2">
        <v>1</v>
      </c>
      <c r="H304" s="50"/>
      <c r="I304" s="4">
        <f t="shared" si="45"/>
        <v>11.04</v>
      </c>
      <c r="J304" s="124"/>
    </row>
    <row r="305" spans="1:13" s="12" customFormat="1" x14ac:dyDescent="0.2">
      <c r="A305" s="101" t="str">
        <f t="shared" si="44"/>
        <v xml:space="preserve">RUA JUSTINO DUARTE TRECHO </v>
      </c>
      <c r="B305" s="102"/>
      <c r="C305" s="22" t="s">
        <v>78</v>
      </c>
      <c r="D305" s="2">
        <f>2.37+2.4</f>
        <v>4.7699999999999996</v>
      </c>
      <c r="E305" s="2"/>
      <c r="F305" s="45"/>
      <c r="G305" s="2">
        <v>1</v>
      </c>
      <c r="H305" s="50"/>
      <c r="I305" s="4">
        <f t="shared" si="45"/>
        <v>4.7699999999999996</v>
      </c>
      <c r="J305" s="124"/>
    </row>
    <row r="306" spans="1:13" s="12" customFormat="1" x14ac:dyDescent="0.2">
      <c r="A306" s="101" t="str">
        <f t="shared" si="44"/>
        <v xml:space="preserve">RUA E </v>
      </c>
      <c r="B306" s="102"/>
      <c r="C306" s="22" t="s">
        <v>79</v>
      </c>
      <c r="D306" s="2">
        <f>2.24+1.81</f>
        <v>4.0500000000000007</v>
      </c>
      <c r="E306" s="2"/>
      <c r="F306" s="45"/>
      <c r="G306" s="2">
        <v>1</v>
      </c>
      <c r="H306" s="50"/>
      <c r="I306" s="4">
        <f t="shared" si="45"/>
        <v>4.05</v>
      </c>
      <c r="J306" s="124"/>
    </row>
    <row r="307" spans="1:13" s="12" customFormat="1" x14ac:dyDescent="0.2">
      <c r="A307" s="101" t="str">
        <f t="shared" si="44"/>
        <v>AVENIDA MONTES CLAROS</v>
      </c>
      <c r="B307" s="102"/>
      <c r="C307" s="22" t="s">
        <v>80</v>
      </c>
      <c r="D307" s="2">
        <f>1.58+1.55</f>
        <v>3.13</v>
      </c>
      <c r="E307" s="2"/>
      <c r="F307" s="45"/>
      <c r="G307" s="2">
        <v>1</v>
      </c>
      <c r="H307" s="50"/>
      <c r="I307" s="4">
        <f t="shared" si="45"/>
        <v>3.13</v>
      </c>
      <c r="J307" s="124"/>
    </row>
    <row r="308" spans="1:13" s="12" customFormat="1" x14ac:dyDescent="0.2">
      <c r="A308" s="101" t="str">
        <f t="shared" si="44"/>
        <v>RUA PEDRO DUARTE</v>
      </c>
      <c r="B308" s="102"/>
      <c r="C308" s="22">
        <v>1.63</v>
      </c>
      <c r="D308" s="2">
        <v>1.63</v>
      </c>
      <c r="E308" s="2"/>
      <c r="F308" s="45"/>
      <c r="G308" s="2">
        <v>1</v>
      </c>
      <c r="H308" s="50"/>
      <c r="I308" s="4">
        <f t="shared" si="45"/>
        <v>1.63</v>
      </c>
      <c r="J308" s="124"/>
    </row>
    <row r="309" spans="1:13" s="12" customFormat="1" x14ac:dyDescent="0.2">
      <c r="A309" s="101" t="str">
        <f t="shared" si="44"/>
        <v xml:space="preserve">RUA B </v>
      </c>
      <c r="B309" s="102"/>
      <c r="C309" s="22" t="s">
        <v>81</v>
      </c>
      <c r="D309" s="2">
        <f>1.63+1.58</f>
        <v>3.21</v>
      </c>
      <c r="E309" s="2"/>
      <c r="F309" s="45"/>
      <c r="G309" s="2">
        <v>1</v>
      </c>
      <c r="H309" s="50"/>
      <c r="I309" s="4">
        <f t="shared" si="45"/>
        <v>3.21</v>
      </c>
      <c r="J309" s="124"/>
    </row>
    <row r="310" spans="1:13" s="12" customFormat="1" x14ac:dyDescent="0.2">
      <c r="A310" s="101" t="str">
        <f t="shared" si="44"/>
        <v>RUA EUGENIO DOS SANTOS</v>
      </c>
      <c r="B310" s="102"/>
      <c r="C310" s="22" t="s">
        <v>82</v>
      </c>
      <c r="D310" s="2">
        <f>1.52+1.62</f>
        <v>3.14</v>
      </c>
      <c r="E310" s="2"/>
      <c r="F310" s="45"/>
      <c r="G310" s="2">
        <v>1</v>
      </c>
      <c r="H310" s="50"/>
      <c r="I310" s="4">
        <f t="shared" si="45"/>
        <v>3.14</v>
      </c>
      <c r="J310" s="124"/>
    </row>
    <row r="311" spans="1:13" s="12" customFormat="1" x14ac:dyDescent="0.2">
      <c r="A311" s="109" t="s">
        <v>7</v>
      </c>
      <c r="B311" s="110"/>
      <c r="C311" s="110"/>
      <c r="D311" s="110"/>
      <c r="E311" s="110"/>
      <c r="F311" s="110"/>
      <c r="G311" s="110"/>
      <c r="H311" s="111"/>
      <c r="I311" s="56">
        <f>ROUND(SUM(I302:I310),2)</f>
        <v>47.92</v>
      </c>
      <c r="J311" s="123"/>
      <c r="L311" s="33">
        <v>70.900000000000006</v>
      </c>
      <c r="M311" s="3">
        <f>ROUND(I311*L311,2)</f>
        <v>3397.53</v>
      </c>
    </row>
    <row r="312" spans="1:13" s="12" customFormat="1" x14ac:dyDescent="0.2">
      <c r="A312" s="15"/>
      <c r="B312" s="61"/>
      <c r="C312" s="61"/>
      <c r="D312" s="61"/>
      <c r="E312" s="61"/>
      <c r="F312" s="61"/>
      <c r="G312" s="61"/>
      <c r="H312" s="61"/>
      <c r="I312" s="63"/>
      <c r="J312" s="85"/>
      <c r="L312" s="39"/>
      <c r="M312" s="38"/>
    </row>
    <row r="313" spans="1:13" s="12" customFormat="1" x14ac:dyDescent="0.2">
      <c r="A313" s="52" t="s">
        <v>86</v>
      </c>
      <c r="B313" s="84" t="s">
        <v>135</v>
      </c>
      <c r="C313" s="51"/>
      <c r="D313" s="86" t="s">
        <v>134</v>
      </c>
      <c r="E313" s="87"/>
      <c r="F313" s="87"/>
      <c r="G313" s="87"/>
      <c r="H313" s="87"/>
      <c r="I313" s="87"/>
      <c r="J313" s="88"/>
      <c r="L313" s="39"/>
      <c r="M313" s="38"/>
    </row>
    <row r="314" spans="1:13" s="12" customFormat="1" x14ac:dyDescent="0.2">
      <c r="A314" s="52" t="s">
        <v>4</v>
      </c>
      <c r="B314" s="54"/>
      <c r="C314" s="55"/>
      <c r="D314" s="89"/>
      <c r="E314" s="90"/>
      <c r="F314" s="90"/>
      <c r="G314" s="90"/>
      <c r="H314" s="90"/>
      <c r="I314" s="90"/>
      <c r="J314" s="91"/>
      <c r="L314" s="39"/>
      <c r="M314" s="38"/>
    </row>
    <row r="315" spans="1:13" s="12" customFormat="1" x14ac:dyDescent="0.2">
      <c r="A315" s="92" t="s">
        <v>88</v>
      </c>
      <c r="B315" s="93"/>
      <c r="C315" s="30" t="s">
        <v>89</v>
      </c>
      <c r="D315" s="31" t="s">
        <v>133</v>
      </c>
      <c r="E315" s="31" t="s">
        <v>93</v>
      </c>
      <c r="F315" s="50" t="s">
        <v>11</v>
      </c>
      <c r="G315" s="31" t="s">
        <v>10</v>
      </c>
      <c r="H315" s="67"/>
      <c r="I315" s="68" t="s">
        <v>12</v>
      </c>
      <c r="J315" s="69" t="s">
        <v>6</v>
      </c>
      <c r="L315" s="39"/>
      <c r="M315" s="38"/>
    </row>
    <row r="316" spans="1:13" s="12" customFormat="1" x14ac:dyDescent="0.2">
      <c r="A316" s="94" t="s">
        <v>132</v>
      </c>
      <c r="B316" s="95"/>
      <c r="C316" s="70"/>
      <c r="D316" s="32">
        <v>3</v>
      </c>
      <c r="E316" s="32">
        <v>1.1000000000000001</v>
      </c>
      <c r="F316" s="45">
        <v>0.06</v>
      </c>
      <c r="G316" s="2">
        <v>2</v>
      </c>
      <c r="H316" s="25"/>
      <c r="I316" s="71">
        <f>ROUND(D316*G316*E316*F316,2)</f>
        <v>0.4</v>
      </c>
      <c r="J316" s="96"/>
      <c r="L316" s="39"/>
      <c r="M316" s="38"/>
    </row>
    <row r="317" spans="1:13" s="12" customFormat="1" x14ac:dyDescent="0.2">
      <c r="A317" s="98" t="s">
        <v>7</v>
      </c>
      <c r="B317" s="99"/>
      <c r="C317" s="99"/>
      <c r="D317" s="99"/>
      <c r="E317" s="99"/>
      <c r="F317" s="99"/>
      <c r="G317" s="99"/>
      <c r="H317" s="100"/>
      <c r="I317" s="56">
        <f>ROUND(SUM(I316:I316),2)</f>
        <v>0.4</v>
      </c>
      <c r="J317" s="97"/>
      <c r="L317" s="39"/>
      <c r="M317" s="38"/>
    </row>
    <row r="318" spans="1:13" s="12" customFormat="1" x14ac:dyDescent="0.2">
      <c r="A318" s="15"/>
      <c r="B318" s="61"/>
      <c r="C318" s="61"/>
      <c r="D318" s="61"/>
      <c r="E318" s="61"/>
      <c r="F318" s="61"/>
      <c r="G318" s="61"/>
      <c r="H318" s="61"/>
      <c r="I318" s="81"/>
      <c r="J318" s="10"/>
      <c r="M318" s="35">
        <f>SUM(M14:M311)</f>
        <v>635107.66000000015</v>
      </c>
    </row>
    <row r="319" spans="1:13" s="12" customFormat="1" x14ac:dyDescent="0.2">
      <c r="A319" s="103" t="s">
        <v>85</v>
      </c>
      <c r="B319" s="104"/>
      <c r="C319" s="104"/>
      <c r="D319" s="104"/>
      <c r="E319" s="104"/>
      <c r="F319" s="104"/>
      <c r="G319" s="104"/>
      <c r="H319" s="104"/>
      <c r="I319" s="104"/>
      <c r="J319" s="105"/>
    </row>
    <row r="320" spans="1:13" s="12" customFormat="1" x14ac:dyDescent="0.2">
      <c r="A320" s="15"/>
      <c r="B320" s="61"/>
      <c r="C320" s="61"/>
      <c r="D320" s="61"/>
      <c r="E320" s="61"/>
      <c r="F320" s="61"/>
      <c r="G320" s="61"/>
      <c r="H320" s="61"/>
      <c r="I320" s="81"/>
      <c r="J320" s="10"/>
    </row>
    <row r="321" spans="1:10" s="12" customFormat="1" ht="14.25" customHeight="1" x14ac:dyDescent="0.2">
      <c r="A321" s="52" t="s">
        <v>86</v>
      </c>
      <c r="B321" s="84" t="s">
        <v>128</v>
      </c>
      <c r="C321" s="51"/>
      <c r="D321" s="86" t="s">
        <v>87</v>
      </c>
      <c r="E321" s="87"/>
      <c r="F321" s="87"/>
      <c r="G321" s="87"/>
      <c r="H321" s="87"/>
      <c r="I321" s="87"/>
      <c r="J321" s="88"/>
    </row>
    <row r="322" spans="1:10" s="12" customFormat="1" ht="14.25" customHeight="1" x14ac:dyDescent="0.2">
      <c r="A322" s="52" t="s">
        <v>4</v>
      </c>
      <c r="B322" s="54"/>
      <c r="C322" s="55"/>
      <c r="D322" s="89"/>
      <c r="E322" s="90"/>
      <c r="F322" s="90"/>
      <c r="G322" s="90"/>
      <c r="H322" s="90"/>
      <c r="I322" s="90"/>
      <c r="J322" s="91"/>
    </row>
    <row r="323" spans="1:10" s="12" customFormat="1" x14ac:dyDescent="0.2">
      <c r="A323" s="92" t="s">
        <v>88</v>
      </c>
      <c r="B323" s="93"/>
      <c r="C323" s="30" t="s">
        <v>89</v>
      </c>
      <c r="D323" s="31" t="s">
        <v>90</v>
      </c>
      <c r="E323" s="31"/>
      <c r="F323" s="66"/>
      <c r="G323" s="31" t="s">
        <v>10</v>
      </c>
      <c r="H323" s="67"/>
      <c r="I323" s="68" t="s">
        <v>91</v>
      </c>
      <c r="J323" s="69" t="s">
        <v>6</v>
      </c>
    </row>
    <row r="324" spans="1:10" s="12" customFormat="1" x14ac:dyDescent="0.2">
      <c r="A324" s="94" t="s">
        <v>98</v>
      </c>
      <c r="B324" s="95"/>
      <c r="C324" s="70"/>
      <c r="D324" s="32">
        <f>9*0.4*3</f>
        <v>10.8</v>
      </c>
      <c r="E324" s="32"/>
      <c r="F324" s="66"/>
      <c r="G324" s="2">
        <v>6</v>
      </c>
      <c r="H324" s="25"/>
      <c r="I324" s="71">
        <f>ROUND(D324*G324,2)</f>
        <v>64.8</v>
      </c>
      <c r="J324" s="96"/>
    </row>
    <row r="325" spans="1:10" s="12" customFormat="1" x14ac:dyDescent="0.2">
      <c r="A325" s="98" t="s">
        <v>7</v>
      </c>
      <c r="B325" s="99"/>
      <c r="C325" s="99"/>
      <c r="D325" s="99"/>
      <c r="E325" s="99"/>
      <c r="F325" s="99"/>
      <c r="G325" s="99"/>
      <c r="H325" s="100"/>
      <c r="I325" s="56">
        <f>ROUND(SUM(I324:I324),2)</f>
        <v>64.8</v>
      </c>
      <c r="J325" s="97"/>
    </row>
    <row r="326" spans="1:10" s="12" customFormat="1" x14ac:dyDescent="0.2">
      <c r="A326" s="15"/>
      <c r="B326" s="61"/>
      <c r="C326" s="61"/>
      <c r="D326" s="61"/>
      <c r="E326" s="61"/>
      <c r="F326" s="61"/>
      <c r="G326" s="61"/>
      <c r="H326" s="61"/>
      <c r="I326" s="81"/>
      <c r="J326" s="10"/>
    </row>
    <row r="327" spans="1:10" s="12" customFormat="1" x14ac:dyDescent="0.2">
      <c r="A327" s="52" t="s">
        <v>86</v>
      </c>
      <c r="B327" s="84" t="s">
        <v>129</v>
      </c>
      <c r="C327" s="51"/>
      <c r="D327" s="86" t="s">
        <v>92</v>
      </c>
      <c r="E327" s="87"/>
      <c r="F327" s="87"/>
      <c r="G327" s="87"/>
      <c r="H327" s="87"/>
      <c r="I327" s="87"/>
      <c r="J327" s="88"/>
    </row>
    <row r="328" spans="1:10" s="12" customFormat="1" x14ac:dyDescent="0.2">
      <c r="A328" s="52" t="s">
        <v>4</v>
      </c>
      <c r="B328" s="54"/>
      <c r="C328" s="55"/>
      <c r="D328" s="89"/>
      <c r="E328" s="90"/>
      <c r="F328" s="90"/>
      <c r="G328" s="90"/>
      <c r="H328" s="90"/>
      <c r="I328" s="90"/>
      <c r="J328" s="91"/>
    </row>
    <row r="329" spans="1:10" s="12" customFormat="1" x14ac:dyDescent="0.2">
      <c r="A329" s="92" t="s">
        <v>88</v>
      </c>
      <c r="B329" s="93"/>
      <c r="C329" s="30" t="s">
        <v>89</v>
      </c>
      <c r="D329" s="31" t="s">
        <v>90</v>
      </c>
      <c r="E329" s="31"/>
      <c r="F329" s="66"/>
      <c r="G329" s="31" t="s">
        <v>10</v>
      </c>
      <c r="H329" s="67"/>
      <c r="I329" s="68" t="s">
        <v>91</v>
      </c>
      <c r="J329" s="69" t="s">
        <v>6</v>
      </c>
    </row>
    <row r="330" spans="1:10" s="12" customFormat="1" x14ac:dyDescent="0.2">
      <c r="A330" s="94" t="s">
        <v>94</v>
      </c>
      <c r="B330" s="95"/>
      <c r="C330" s="70"/>
      <c r="D330" s="32">
        <v>0.3</v>
      </c>
      <c r="E330" s="32"/>
      <c r="F330" s="66"/>
      <c r="G330" s="2">
        <v>4</v>
      </c>
      <c r="H330" s="25"/>
      <c r="I330" s="71">
        <f>ROUND(D330*G330,2)</f>
        <v>1.2</v>
      </c>
      <c r="J330" s="96"/>
    </row>
    <row r="331" spans="1:10" s="12" customFormat="1" x14ac:dyDescent="0.2">
      <c r="A331" s="98" t="s">
        <v>7</v>
      </c>
      <c r="B331" s="99"/>
      <c r="C331" s="99"/>
      <c r="D331" s="99"/>
      <c r="E331" s="99"/>
      <c r="F331" s="99"/>
      <c r="G331" s="99"/>
      <c r="H331" s="100"/>
      <c r="I331" s="56">
        <f>ROUND(SUM(I330:I330),2)</f>
        <v>1.2</v>
      </c>
      <c r="J331" s="97"/>
    </row>
    <row r="332" spans="1:10" s="12" customFormat="1" x14ac:dyDescent="0.2">
      <c r="A332" s="15"/>
      <c r="B332" s="61"/>
      <c r="C332" s="61"/>
      <c r="D332" s="61"/>
      <c r="E332" s="61"/>
      <c r="F332" s="61"/>
      <c r="G332" s="61"/>
      <c r="H332" s="61"/>
      <c r="I332" s="81"/>
      <c r="J332" s="10"/>
    </row>
    <row r="333" spans="1:10" s="12" customFormat="1" x14ac:dyDescent="0.2">
      <c r="A333" s="52" t="s">
        <v>86</v>
      </c>
      <c r="B333" s="84" t="s">
        <v>130</v>
      </c>
      <c r="C333" s="51"/>
      <c r="D333" s="86" t="s">
        <v>95</v>
      </c>
      <c r="E333" s="87"/>
      <c r="F333" s="87"/>
      <c r="G333" s="87"/>
      <c r="H333" s="87"/>
      <c r="I333" s="87"/>
      <c r="J333" s="88"/>
    </row>
    <row r="334" spans="1:10" s="12" customFormat="1" x14ac:dyDescent="0.2">
      <c r="A334" s="52" t="s">
        <v>4</v>
      </c>
      <c r="B334" s="54"/>
      <c r="C334" s="55"/>
      <c r="D334" s="89"/>
      <c r="E334" s="90"/>
      <c r="F334" s="90"/>
      <c r="G334" s="90"/>
      <c r="H334" s="90"/>
      <c r="I334" s="90"/>
      <c r="J334" s="91"/>
    </row>
    <row r="335" spans="1:10" s="12" customFormat="1" x14ac:dyDescent="0.2">
      <c r="A335" s="92" t="s">
        <v>88</v>
      </c>
      <c r="B335" s="93"/>
      <c r="C335" s="30" t="s">
        <v>89</v>
      </c>
      <c r="D335" s="31" t="s">
        <v>73</v>
      </c>
      <c r="E335" s="31" t="s">
        <v>93</v>
      </c>
      <c r="F335" s="66"/>
      <c r="G335" s="31" t="s">
        <v>10</v>
      </c>
      <c r="H335" s="67"/>
      <c r="I335" s="68" t="s">
        <v>91</v>
      </c>
      <c r="J335" s="69" t="s">
        <v>6</v>
      </c>
    </row>
    <row r="336" spans="1:10" s="12" customFormat="1" x14ac:dyDescent="0.2">
      <c r="A336" s="94" t="s">
        <v>96</v>
      </c>
      <c r="B336" s="95"/>
      <c r="C336" s="70"/>
      <c r="D336" s="32">
        <v>0.6</v>
      </c>
      <c r="E336" s="32">
        <v>0.6</v>
      </c>
      <c r="F336" s="66"/>
      <c r="G336" s="2">
        <v>6</v>
      </c>
      <c r="H336" s="25"/>
      <c r="I336" s="71">
        <f>ROUND(D336*G336*E336,2)</f>
        <v>2.16</v>
      </c>
      <c r="J336" s="96"/>
    </row>
    <row r="337" spans="1:10" s="12" customFormat="1" x14ac:dyDescent="0.2">
      <c r="A337" s="98" t="s">
        <v>7</v>
      </c>
      <c r="B337" s="99"/>
      <c r="C337" s="99"/>
      <c r="D337" s="99"/>
      <c r="E337" s="99"/>
      <c r="F337" s="99"/>
      <c r="G337" s="99"/>
      <c r="H337" s="100"/>
      <c r="I337" s="56">
        <f>ROUND(SUM(I336:I336),2)</f>
        <v>2.16</v>
      </c>
      <c r="J337" s="97"/>
    </row>
    <row r="338" spans="1:10" s="12" customFormat="1" x14ac:dyDescent="0.2">
      <c r="A338" s="15"/>
      <c r="B338" s="61"/>
      <c r="C338" s="61"/>
      <c r="D338" s="61"/>
      <c r="E338" s="61"/>
      <c r="F338" s="61"/>
      <c r="G338" s="61"/>
      <c r="H338" s="61"/>
      <c r="I338" s="81"/>
      <c r="J338" s="10"/>
    </row>
    <row r="339" spans="1:10" s="12" customFormat="1" x14ac:dyDescent="0.2">
      <c r="A339" s="52" t="s">
        <v>86</v>
      </c>
      <c r="B339" s="84" t="s">
        <v>131</v>
      </c>
      <c r="C339" s="51"/>
      <c r="D339" s="86" t="s">
        <v>103</v>
      </c>
      <c r="E339" s="87"/>
      <c r="F339" s="87"/>
      <c r="G339" s="87"/>
      <c r="H339" s="87"/>
      <c r="I339" s="87"/>
      <c r="J339" s="88"/>
    </row>
    <row r="340" spans="1:10" s="12" customFormat="1" x14ac:dyDescent="0.2">
      <c r="A340" s="52" t="s">
        <v>4</v>
      </c>
      <c r="B340" s="54"/>
      <c r="C340" s="55"/>
      <c r="D340" s="89"/>
      <c r="E340" s="90"/>
      <c r="F340" s="90"/>
      <c r="G340" s="90"/>
      <c r="H340" s="90"/>
      <c r="I340" s="90"/>
      <c r="J340" s="91"/>
    </row>
    <row r="341" spans="1:10" s="12" customFormat="1" x14ac:dyDescent="0.2">
      <c r="A341" s="92" t="s">
        <v>88</v>
      </c>
      <c r="B341" s="93"/>
      <c r="C341" s="30" t="s">
        <v>89</v>
      </c>
      <c r="D341" s="31" t="s">
        <v>73</v>
      </c>
      <c r="E341" s="31" t="s">
        <v>93</v>
      </c>
      <c r="F341" s="66"/>
      <c r="G341" s="31" t="s">
        <v>10</v>
      </c>
      <c r="H341" s="67"/>
      <c r="I341" s="68" t="s">
        <v>91</v>
      </c>
      <c r="J341" s="69" t="s">
        <v>6</v>
      </c>
    </row>
    <row r="342" spans="1:10" s="12" customFormat="1" x14ac:dyDescent="0.2">
      <c r="A342" s="94" t="s">
        <v>97</v>
      </c>
      <c r="B342" s="95"/>
      <c r="C342" s="70"/>
      <c r="D342" s="32">
        <v>0.52</v>
      </c>
      <c r="E342" s="32">
        <v>0.21</v>
      </c>
      <c r="F342" s="66"/>
      <c r="G342" s="2">
        <v>14</v>
      </c>
      <c r="H342" s="25"/>
      <c r="I342" s="71">
        <f>ROUND(D342*G342*E342,2)</f>
        <v>1.53</v>
      </c>
      <c r="J342" s="96"/>
    </row>
    <row r="343" spans="1:10" s="12" customFormat="1" x14ac:dyDescent="0.2">
      <c r="A343" s="98" t="s">
        <v>7</v>
      </c>
      <c r="B343" s="99"/>
      <c r="C343" s="99"/>
      <c r="D343" s="99"/>
      <c r="E343" s="99"/>
      <c r="F343" s="99"/>
      <c r="G343" s="99"/>
      <c r="H343" s="100"/>
      <c r="I343" s="56">
        <f>ROUND(SUM(I342:I342),2)</f>
        <v>1.53</v>
      </c>
      <c r="J343" s="97"/>
    </row>
    <row r="344" spans="1:10" s="12" customFormat="1" x14ac:dyDescent="0.2">
      <c r="A344" s="73"/>
      <c r="B344" s="74"/>
      <c r="C344" s="74"/>
      <c r="D344" s="74"/>
      <c r="E344" s="74"/>
      <c r="F344" s="74"/>
      <c r="G344" s="74"/>
      <c r="H344" s="74"/>
      <c r="I344" s="72"/>
      <c r="J344" s="10"/>
    </row>
    <row r="345" spans="1:10" s="12" customFormat="1" x14ac:dyDescent="0.2">
      <c r="A345" s="73"/>
      <c r="B345" s="74"/>
      <c r="C345" s="74"/>
      <c r="D345" s="74"/>
      <c r="E345" s="74"/>
      <c r="F345" s="74"/>
      <c r="G345" s="74"/>
      <c r="H345" s="74"/>
      <c r="I345" s="72"/>
      <c r="J345" s="10"/>
    </row>
    <row r="346" spans="1:10" s="12" customFormat="1" x14ac:dyDescent="0.2">
      <c r="A346" s="73"/>
      <c r="B346" s="74"/>
      <c r="C346" s="74"/>
      <c r="D346" s="74"/>
      <c r="E346" s="74"/>
      <c r="F346" s="74"/>
      <c r="G346" s="74"/>
      <c r="H346" s="74"/>
      <c r="I346" s="72"/>
      <c r="J346" s="10"/>
    </row>
    <row r="347" spans="1:10" s="12" customFormat="1" x14ac:dyDescent="0.2">
      <c r="A347" s="73"/>
      <c r="B347" s="74"/>
      <c r="C347" s="74"/>
      <c r="D347" s="74"/>
      <c r="E347" s="74"/>
      <c r="F347" s="74"/>
      <c r="G347" s="74"/>
      <c r="H347" s="74"/>
      <c r="I347" s="72"/>
      <c r="J347" s="10"/>
    </row>
    <row r="348" spans="1:10" s="12" customFormat="1" x14ac:dyDescent="0.2">
      <c r="A348" s="73"/>
      <c r="B348" s="74"/>
      <c r="C348" s="74"/>
      <c r="D348" s="74"/>
      <c r="E348" s="74"/>
      <c r="F348" s="74"/>
      <c r="G348" s="74"/>
      <c r="H348" s="74"/>
      <c r="I348" s="72"/>
      <c r="J348" s="10"/>
    </row>
    <row r="349" spans="1:10" s="12" customFormat="1" x14ac:dyDescent="0.2">
      <c r="A349" s="73"/>
      <c r="B349" s="74"/>
      <c r="C349" s="74"/>
      <c r="D349" s="74"/>
      <c r="E349" s="74"/>
      <c r="F349" s="74"/>
      <c r="G349" s="74"/>
      <c r="H349" s="74"/>
      <c r="I349" s="72"/>
      <c r="J349" s="10"/>
    </row>
    <row r="350" spans="1:10" s="12" customFormat="1" x14ac:dyDescent="0.2">
      <c r="A350" s="11"/>
      <c r="J350" s="13"/>
    </row>
    <row r="351" spans="1:10" s="12" customFormat="1" x14ac:dyDescent="0.2">
      <c r="A351" s="11"/>
      <c r="B351" s="161" t="s">
        <v>62</v>
      </c>
      <c r="C351" s="161"/>
      <c r="D351" s="161"/>
      <c r="F351" s="82"/>
      <c r="G351" s="161" t="s">
        <v>64</v>
      </c>
      <c r="H351" s="161"/>
      <c r="I351" s="161"/>
      <c r="J351" s="13"/>
    </row>
    <row r="352" spans="1:10" x14ac:dyDescent="0.2">
      <c r="A352" s="75"/>
      <c r="B352" s="125" t="s">
        <v>63</v>
      </c>
      <c r="C352" s="125"/>
      <c r="D352" s="125"/>
      <c r="E352" s="12"/>
      <c r="F352" s="82"/>
      <c r="G352" s="125" t="s">
        <v>102</v>
      </c>
      <c r="H352" s="125"/>
      <c r="I352" s="125"/>
      <c r="J352" s="76"/>
    </row>
    <row r="353" spans="1:10" x14ac:dyDescent="0.2">
      <c r="A353" s="75"/>
      <c r="B353" s="83"/>
      <c r="C353" s="83"/>
      <c r="D353" s="83"/>
      <c r="E353" s="12"/>
      <c r="F353" s="82"/>
      <c r="G353" s="83"/>
      <c r="H353" s="83"/>
      <c r="I353" s="83"/>
      <c r="J353" s="76"/>
    </row>
    <row r="354" spans="1:10" x14ac:dyDescent="0.2">
      <c r="A354" s="75"/>
      <c r="B354" s="83"/>
      <c r="C354" s="83"/>
      <c r="D354" s="83"/>
      <c r="E354" s="12"/>
      <c r="F354" s="82"/>
      <c r="G354" s="83"/>
      <c r="H354" s="83"/>
      <c r="I354" s="83"/>
      <c r="J354" s="76"/>
    </row>
    <row r="355" spans="1:10" x14ac:dyDescent="0.2">
      <c r="A355" s="75"/>
      <c r="B355" s="83"/>
      <c r="C355" s="83"/>
      <c r="D355" s="83"/>
      <c r="E355" s="12"/>
      <c r="F355" s="82"/>
      <c r="G355" s="83"/>
      <c r="H355" s="83"/>
      <c r="I355" s="83"/>
      <c r="J355" s="76"/>
    </row>
    <row r="356" spans="1:10" x14ac:dyDescent="0.2">
      <c r="A356" s="75"/>
      <c r="B356" s="83"/>
      <c r="C356" s="83"/>
      <c r="D356" s="83"/>
      <c r="E356" s="12"/>
      <c r="F356" s="82"/>
      <c r="G356" s="83"/>
      <c r="H356" s="83"/>
      <c r="I356" s="83"/>
      <c r="J356" s="76"/>
    </row>
    <row r="357" spans="1:10" ht="12.75" thickBot="1" x14ac:dyDescent="0.25">
      <c r="A357" s="77"/>
      <c r="B357" s="78"/>
      <c r="C357" s="78"/>
      <c r="D357" s="78"/>
      <c r="E357" s="78"/>
      <c r="F357" s="78"/>
      <c r="G357" s="78"/>
      <c r="H357" s="78"/>
      <c r="I357" s="78"/>
      <c r="J357" s="79"/>
    </row>
  </sheetData>
  <mergeCells count="471">
    <mergeCell ref="A75:B75"/>
    <mergeCell ref="H72:H73"/>
    <mergeCell ref="F72:F73"/>
    <mergeCell ref="A72:B73"/>
    <mergeCell ref="C72:C73"/>
    <mergeCell ref="D72:D73"/>
    <mergeCell ref="A247:B247"/>
    <mergeCell ref="J247:J248"/>
    <mergeCell ref="A248:H248"/>
    <mergeCell ref="D243:J244"/>
    <mergeCell ref="A245:B246"/>
    <mergeCell ref="C245:C246"/>
    <mergeCell ref="D245:D246"/>
    <mergeCell ref="E245:E246"/>
    <mergeCell ref="F245:F246"/>
    <mergeCell ref="G245:G246"/>
    <mergeCell ref="H245:H246"/>
    <mergeCell ref="I245:I246"/>
    <mergeCell ref="J245:J246"/>
    <mergeCell ref="A188:B188"/>
    <mergeCell ref="A189:B189"/>
    <mergeCell ref="A203:B203"/>
    <mergeCell ref="A204:B204"/>
    <mergeCell ref="J181:J190"/>
    <mergeCell ref="J166:J175"/>
    <mergeCell ref="A158:B158"/>
    <mergeCell ref="A159:B159"/>
    <mergeCell ref="A157:B157"/>
    <mergeCell ref="J194:J195"/>
    <mergeCell ref="A184:B184"/>
    <mergeCell ref="I179:I180"/>
    <mergeCell ref="J179:J180"/>
    <mergeCell ref="C179:C180"/>
    <mergeCell ref="D179:D180"/>
    <mergeCell ref="E179:E180"/>
    <mergeCell ref="F179:F180"/>
    <mergeCell ref="G179:G180"/>
    <mergeCell ref="H179:H180"/>
    <mergeCell ref="E164:E165"/>
    <mergeCell ref="F164:F165"/>
    <mergeCell ref="J151:J160"/>
    <mergeCell ref="D194:D195"/>
    <mergeCell ref="E194:E195"/>
    <mergeCell ref="F194:F195"/>
    <mergeCell ref="G194:G195"/>
    <mergeCell ref="H194:H195"/>
    <mergeCell ref="I194:I195"/>
    <mergeCell ref="A202:B202"/>
    <mergeCell ref="A154:B154"/>
    <mergeCell ref="J119:J128"/>
    <mergeCell ref="J104:J113"/>
    <mergeCell ref="J89:J98"/>
    <mergeCell ref="J72:J73"/>
    <mergeCell ref="J59:J68"/>
    <mergeCell ref="D115:J116"/>
    <mergeCell ref="E117:E118"/>
    <mergeCell ref="A107:B107"/>
    <mergeCell ref="A122:B122"/>
    <mergeCell ref="J117:J118"/>
    <mergeCell ref="J74:J83"/>
    <mergeCell ref="A83:H83"/>
    <mergeCell ref="D85:J86"/>
    <mergeCell ref="A87:B88"/>
    <mergeCell ref="C87:C88"/>
    <mergeCell ref="A62:B62"/>
    <mergeCell ref="E72:E73"/>
    <mergeCell ref="A79:B79"/>
    <mergeCell ref="A80:B80"/>
    <mergeCell ref="A65:B65"/>
    <mergeCell ref="A108:B108"/>
    <mergeCell ref="A102:B103"/>
    <mergeCell ref="A169:B169"/>
    <mergeCell ref="A135:B135"/>
    <mergeCell ref="A136:B136"/>
    <mergeCell ref="D162:J163"/>
    <mergeCell ref="D130:J131"/>
    <mergeCell ref="J149:J150"/>
    <mergeCell ref="J132:J133"/>
    <mergeCell ref="G149:G150"/>
    <mergeCell ref="H149:H150"/>
    <mergeCell ref="I149:I150"/>
    <mergeCell ref="A132:B133"/>
    <mergeCell ref="J134:J142"/>
    <mergeCell ref="A137:B137"/>
    <mergeCell ref="A138:B138"/>
    <mergeCell ref="A139:B139"/>
    <mergeCell ref="H57:H58"/>
    <mergeCell ref="F57:F58"/>
    <mergeCell ref="G57:G58"/>
    <mergeCell ref="I57:I58"/>
    <mergeCell ref="J57:J58"/>
    <mergeCell ref="F42:F43"/>
    <mergeCell ref="E57:E58"/>
    <mergeCell ref="J27:J36"/>
    <mergeCell ref="A47:B47"/>
    <mergeCell ref="A44:B44"/>
    <mergeCell ref="G231:G232"/>
    <mergeCell ref="A226:B226"/>
    <mergeCell ref="D236:J237"/>
    <mergeCell ref="A238:B239"/>
    <mergeCell ref="C238:C239"/>
    <mergeCell ref="D238:D239"/>
    <mergeCell ref="E238:E239"/>
    <mergeCell ref="F238:F239"/>
    <mergeCell ref="G238:G239"/>
    <mergeCell ref="H238:H239"/>
    <mergeCell ref="H231:H232"/>
    <mergeCell ref="I231:I232"/>
    <mergeCell ref="J231:J232"/>
    <mergeCell ref="A233:B233"/>
    <mergeCell ref="A234:H234"/>
    <mergeCell ref="I238:I239"/>
    <mergeCell ref="J238:J239"/>
    <mergeCell ref="D224:D225"/>
    <mergeCell ref="E224:E225"/>
    <mergeCell ref="F224:F225"/>
    <mergeCell ref="G224:G225"/>
    <mergeCell ref="H224:H225"/>
    <mergeCell ref="A81:B81"/>
    <mergeCell ref="A82:B82"/>
    <mergeCell ref="E231:E232"/>
    <mergeCell ref="F231:F232"/>
    <mergeCell ref="A211:B211"/>
    <mergeCell ref="A212:B212"/>
    <mergeCell ref="A213:B213"/>
    <mergeCell ref="A215:B215"/>
    <mergeCell ref="A216:B216"/>
    <mergeCell ref="A214:B214"/>
    <mergeCell ref="A201:B201"/>
    <mergeCell ref="A199:B199"/>
    <mergeCell ref="A205:H205"/>
    <mergeCell ref="D207:J208"/>
    <mergeCell ref="A209:B210"/>
    <mergeCell ref="C209:C210"/>
    <mergeCell ref="D209:D210"/>
    <mergeCell ref="E209:E210"/>
    <mergeCell ref="J196:J205"/>
    <mergeCell ref="A187:B187"/>
    <mergeCell ref="A190:H190"/>
    <mergeCell ref="D192:J193"/>
    <mergeCell ref="A194:B195"/>
    <mergeCell ref="C194:C195"/>
    <mergeCell ref="B352:D352"/>
    <mergeCell ref="G164:G165"/>
    <mergeCell ref="H164:H165"/>
    <mergeCell ref="I164:I165"/>
    <mergeCell ref="F209:F210"/>
    <mergeCell ref="G209:G210"/>
    <mergeCell ref="H209:H210"/>
    <mergeCell ref="I209:I210"/>
    <mergeCell ref="A196:B196"/>
    <mergeCell ref="A197:B197"/>
    <mergeCell ref="A240:B240"/>
    <mergeCell ref="A241:H241"/>
    <mergeCell ref="B351:D351"/>
    <mergeCell ref="G351:I351"/>
    <mergeCell ref="A217:B217"/>
    <mergeCell ref="A220:H220"/>
    <mergeCell ref="D222:J223"/>
    <mergeCell ref="A224:B225"/>
    <mergeCell ref="C224:C225"/>
    <mergeCell ref="G18:G19"/>
    <mergeCell ref="H18:H19"/>
    <mergeCell ref="I18:I19"/>
    <mergeCell ref="J18:J19"/>
    <mergeCell ref="A28:B28"/>
    <mergeCell ref="J44:J53"/>
    <mergeCell ref="A63:B63"/>
    <mergeCell ref="E42:E43"/>
    <mergeCell ref="I25:I26"/>
    <mergeCell ref="J25:J26"/>
    <mergeCell ref="A34:B34"/>
    <mergeCell ref="A35:B35"/>
    <mergeCell ref="A51:B51"/>
    <mergeCell ref="A52:B52"/>
    <mergeCell ref="C40:C41"/>
    <mergeCell ref="A59:B59"/>
    <mergeCell ref="D42:D43"/>
    <mergeCell ref="A50:B50"/>
    <mergeCell ref="A42:B43"/>
    <mergeCell ref="C42:C43"/>
    <mergeCell ref="D55:J56"/>
    <mergeCell ref="A57:B58"/>
    <mergeCell ref="C57:C58"/>
    <mergeCell ref="D57:D58"/>
    <mergeCell ref="F132:F133"/>
    <mergeCell ref="G132:G133"/>
    <mergeCell ref="H132:H133"/>
    <mergeCell ref="I132:I133"/>
    <mergeCell ref="F102:F103"/>
    <mergeCell ref="I87:I88"/>
    <mergeCell ref="A89:B89"/>
    <mergeCell ref="A98:H98"/>
    <mergeCell ref="E87:E88"/>
    <mergeCell ref="F87:F88"/>
    <mergeCell ref="G102:G103"/>
    <mergeCell ref="H102:H103"/>
    <mergeCell ref="C117:C118"/>
    <mergeCell ref="A120:B120"/>
    <mergeCell ref="A121:B121"/>
    <mergeCell ref="A123:B123"/>
    <mergeCell ref="A125:B125"/>
    <mergeCell ref="A128:H128"/>
    <mergeCell ref="D117:D118"/>
    <mergeCell ref="D87:D88"/>
    <mergeCell ref="I224:I225"/>
    <mergeCell ref="J224:J225"/>
    <mergeCell ref="A218:B218"/>
    <mergeCell ref="A219:B219"/>
    <mergeCell ref="J211:J220"/>
    <mergeCell ref="A153:B153"/>
    <mergeCell ref="A173:B173"/>
    <mergeCell ref="A174:B174"/>
    <mergeCell ref="A66:B66"/>
    <mergeCell ref="A67:B67"/>
    <mergeCell ref="E149:E150"/>
    <mergeCell ref="A90:B90"/>
    <mergeCell ref="A91:B91"/>
    <mergeCell ref="A76:B76"/>
    <mergeCell ref="A77:B77"/>
    <mergeCell ref="A78:B78"/>
    <mergeCell ref="A74:B74"/>
    <mergeCell ref="G87:G88"/>
    <mergeCell ref="A155:B155"/>
    <mergeCell ref="F117:F118"/>
    <mergeCell ref="G117:G118"/>
    <mergeCell ref="A152:B152"/>
    <mergeCell ref="A119:B119"/>
    <mergeCell ref="A117:B118"/>
    <mergeCell ref="A53:H53"/>
    <mergeCell ref="A38:J38"/>
    <mergeCell ref="I42:I43"/>
    <mergeCell ref="J42:J43"/>
    <mergeCell ref="A1:J2"/>
    <mergeCell ref="B3:J3"/>
    <mergeCell ref="B4:J4"/>
    <mergeCell ref="A5:J5"/>
    <mergeCell ref="A20:B20"/>
    <mergeCell ref="A21:H21"/>
    <mergeCell ref="J20:J21"/>
    <mergeCell ref="A6:J6"/>
    <mergeCell ref="D10:J11"/>
    <mergeCell ref="A12:B12"/>
    <mergeCell ref="J13:J14"/>
    <mergeCell ref="A7:J7"/>
    <mergeCell ref="A13:B13"/>
    <mergeCell ref="A14:H14"/>
    <mergeCell ref="A8:J8"/>
    <mergeCell ref="D16:J17"/>
    <mergeCell ref="A18:B19"/>
    <mergeCell ref="C18:C19"/>
    <mergeCell ref="D23:J24"/>
    <mergeCell ref="F18:F19"/>
    <mergeCell ref="D40:J41"/>
    <mergeCell ref="A31:B31"/>
    <mergeCell ref="A32:B32"/>
    <mergeCell ref="A27:B27"/>
    <mergeCell ref="A36:H36"/>
    <mergeCell ref="A25:B26"/>
    <mergeCell ref="C25:C26"/>
    <mergeCell ref="I72:I73"/>
    <mergeCell ref="G42:G43"/>
    <mergeCell ref="H42:H43"/>
    <mergeCell ref="A45:B45"/>
    <mergeCell ref="A68:H68"/>
    <mergeCell ref="A64:B64"/>
    <mergeCell ref="A46:B46"/>
    <mergeCell ref="A48:B48"/>
    <mergeCell ref="A49:B49"/>
    <mergeCell ref="A60:B60"/>
    <mergeCell ref="A61:B61"/>
    <mergeCell ref="A29:B29"/>
    <mergeCell ref="A30:B30"/>
    <mergeCell ref="A33:B33"/>
    <mergeCell ref="D25:D26"/>
    <mergeCell ref="E25:E26"/>
    <mergeCell ref="F25:F26"/>
    <mergeCell ref="E254:E255"/>
    <mergeCell ref="F254:F255"/>
    <mergeCell ref="G254:G255"/>
    <mergeCell ref="H254:H255"/>
    <mergeCell ref="I254:I255"/>
    <mergeCell ref="J254:J255"/>
    <mergeCell ref="C12:C13"/>
    <mergeCell ref="D18:D19"/>
    <mergeCell ref="E18:E19"/>
    <mergeCell ref="G25:G26"/>
    <mergeCell ref="H25:H26"/>
    <mergeCell ref="C132:C133"/>
    <mergeCell ref="D132:D133"/>
    <mergeCell ref="E132:E133"/>
    <mergeCell ref="J87:J88"/>
    <mergeCell ref="J209:J210"/>
    <mergeCell ref="A227:H227"/>
    <mergeCell ref="D229:J230"/>
    <mergeCell ref="A231:B232"/>
    <mergeCell ref="C231:C232"/>
    <mergeCell ref="D231:D232"/>
    <mergeCell ref="D70:J71"/>
    <mergeCell ref="G72:G73"/>
    <mergeCell ref="C23:C24"/>
    <mergeCell ref="A149:B150"/>
    <mergeCell ref="C149:C150"/>
    <mergeCell ref="D149:D150"/>
    <mergeCell ref="A156:B156"/>
    <mergeCell ref="A93:B93"/>
    <mergeCell ref="A94:B94"/>
    <mergeCell ref="A95:B95"/>
    <mergeCell ref="A96:B96"/>
    <mergeCell ref="A97:B97"/>
    <mergeCell ref="A111:B111"/>
    <mergeCell ref="A112:B112"/>
    <mergeCell ref="A124:B124"/>
    <mergeCell ref="A109:B109"/>
    <mergeCell ref="H87:H88"/>
    <mergeCell ref="C102:C103"/>
    <mergeCell ref="D102:D103"/>
    <mergeCell ref="E102:E103"/>
    <mergeCell ref="A104:B104"/>
    <mergeCell ref="A105:B105"/>
    <mergeCell ref="A106:B106"/>
    <mergeCell ref="D147:J148"/>
    <mergeCell ref="A145:J145"/>
    <mergeCell ref="A140:B140"/>
    <mergeCell ref="A143:H143"/>
    <mergeCell ref="A134:B134"/>
    <mergeCell ref="I102:I103"/>
    <mergeCell ref="J102:J103"/>
    <mergeCell ref="A92:B92"/>
    <mergeCell ref="A110:B110"/>
    <mergeCell ref="A113:H113"/>
    <mergeCell ref="D100:J101"/>
    <mergeCell ref="A126:B126"/>
    <mergeCell ref="A127:B127"/>
    <mergeCell ref="A141:B141"/>
    <mergeCell ref="A142:B142"/>
    <mergeCell ref="H117:H118"/>
    <mergeCell ref="I117:I118"/>
    <mergeCell ref="A250:J250"/>
    <mergeCell ref="F149:F150"/>
    <mergeCell ref="A151:B151"/>
    <mergeCell ref="A166:B166"/>
    <mergeCell ref="A167:B167"/>
    <mergeCell ref="A168:B168"/>
    <mergeCell ref="A170:B170"/>
    <mergeCell ref="A171:B171"/>
    <mergeCell ref="A172:B172"/>
    <mergeCell ref="A175:H175"/>
    <mergeCell ref="D177:J178"/>
    <mergeCell ref="A179:B180"/>
    <mergeCell ref="J164:J165"/>
    <mergeCell ref="A181:B181"/>
    <mergeCell ref="A182:B182"/>
    <mergeCell ref="A183:B183"/>
    <mergeCell ref="A185:B185"/>
    <mergeCell ref="A186:B186"/>
    <mergeCell ref="A160:H160"/>
    <mergeCell ref="A164:B165"/>
    <mergeCell ref="C164:C165"/>
    <mergeCell ref="D164:D165"/>
    <mergeCell ref="A198:B198"/>
    <mergeCell ref="A200:B200"/>
    <mergeCell ref="D252:J253"/>
    <mergeCell ref="A272:B272"/>
    <mergeCell ref="A273:B273"/>
    <mergeCell ref="A274:B274"/>
    <mergeCell ref="A266:H266"/>
    <mergeCell ref="D268:J269"/>
    <mergeCell ref="A270:B271"/>
    <mergeCell ref="C270:C271"/>
    <mergeCell ref="D270:D271"/>
    <mergeCell ref="E270:E271"/>
    <mergeCell ref="F270:F271"/>
    <mergeCell ref="A257:B257"/>
    <mergeCell ref="A258:B258"/>
    <mergeCell ref="A260:B260"/>
    <mergeCell ref="A261:B261"/>
    <mergeCell ref="G270:G271"/>
    <mergeCell ref="A256:B256"/>
    <mergeCell ref="H270:H271"/>
    <mergeCell ref="I270:I271"/>
    <mergeCell ref="J270:J271"/>
    <mergeCell ref="A259:B259"/>
    <mergeCell ref="A254:B255"/>
    <mergeCell ref="C254:C255"/>
    <mergeCell ref="D254:D255"/>
    <mergeCell ref="D313:J314"/>
    <mergeCell ref="A281:H281"/>
    <mergeCell ref="D283:J284"/>
    <mergeCell ref="G352:I352"/>
    <mergeCell ref="A262:B262"/>
    <mergeCell ref="A263:B263"/>
    <mergeCell ref="A264:B264"/>
    <mergeCell ref="A275:B275"/>
    <mergeCell ref="A276:B276"/>
    <mergeCell ref="A277:B277"/>
    <mergeCell ref="A278:B278"/>
    <mergeCell ref="A279:B279"/>
    <mergeCell ref="A280:B280"/>
    <mergeCell ref="A294:B294"/>
    <mergeCell ref="A295:B295"/>
    <mergeCell ref="A306:B306"/>
    <mergeCell ref="A307:B307"/>
    <mergeCell ref="A308:B308"/>
    <mergeCell ref="A309:B309"/>
    <mergeCell ref="A302:B302"/>
    <mergeCell ref="C300:C301"/>
    <mergeCell ref="D300:D301"/>
    <mergeCell ref="E300:E301"/>
    <mergeCell ref="F300:F301"/>
    <mergeCell ref="A310:B310"/>
    <mergeCell ref="A303:B303"/>
    <mergeCell ref="A304:B304"/>
    <mergeCell ref="J226:J227"/>
    <mergeCell ref="J233:J234"/>
    <mergeCell ref="J240:J241"/>
    <mergeCell ref="J256:J266"/>
    <mergeCell ref="J272:J281"/>
    <mergeCell ref="J287:J296"/>
    <mergeCell ref="J302:J311"/>
    <mergeCell ref="A285:B286"/>
    <mergeCell ref="C285:C286"/>
    <mergeCell ref="D285:D286"/>
    <mergeCell ref="E285:E286"/>
    <mergeCell ref="F285:F286"/>
    <mergeCell ref="G285:G286"/>
    <mergeCell ref="H285:H286"/>
    <mergeCell ref="I285:I286"/>
    <mergeCell ref="J285:J286"/>
    <mergeCell ref="A287:B287"/>
    <mergeCell ref="A288:B288"/>
    <mergeCell ref="A289:B289"/>
    <mergeCell ref="A290:B290"/>
    <mergeCell ref="A291:B291"/>
    <mergeCell ref="A329:B329"/>
    <mergeCell ref="A265:B265"/>
    <mergeCell ref="A319:J319"/>
    <mergeCell ref="D321:J322"/>
    <mergeCell ref="A323:B323"/>
    <mergeCell ref="A324:B324"/>
    <mergeCell ref="J324:J325"/>
    <mergeCell ref="A325:H325"/>
    <mergeCell ref="D327:J328"/>
    <mergeCell ref="A292:B292"/>
    <mergeCell ref="A293:B293"/>
    <mergeCell ref="A296:H296"/>
    <mergeCell ref="A305:B305"/>
    <mergeCell ref="A311:H311"/>
    <mergeCell ref="D298:J299"/>
    <mergeCell ref="A300:B301"/>
    <mergeCell ref="A315:B315"/>
    <mergeCell ref="A316:B316"/>
    <mergeCell ref="J316:J317"/>
    <mergeCell ref="A317:H317"/>
    <mergeCell ref="G300:G301"/>
    <mergeCell ref="H300:H301"/>
    <mergeCell ref="I300:I301"/>
    <mergeCell ref="J300:J301"/>
    <mergeCell ref="D339:J340"/>
    <mergeCell ref="A341:B341"/>
    <mergeCell ref="A342:B342"/>
    <mergeCell ref="J342:J343"/>
    <mergeCell ref="A343:H343"/>
    <mergeCell ref="A330:B330"/>
    <mergeCell ref="J330:J331"/>
    <mergeCell ref="A331:H331"/>
    <mergeCell ref="D333:J334"/>
    <mergeCell ref="A335:B335"/>
    <mergeCell ref="A336:B336"/>
    <mergeCell ref="J336:J337"/>
    <mergeCell ref="A337:H337"/>
  </mergeCells>
  <phoneticPr fontId="7" type="noConversion"/>
  <printOptions horizontalCentered="1"/>
  <pageMargins left="0.23622047244094488" right="0.23622047244094488" top="0.74803149606299213" bottom="0.74803149606299213" header="0.31496062992125984" footer="0.31496062992125984"/>
  <pageSetup paperSize="9" scale="81" fitToHeight="0" orientation="landscape" horizontalDpi="360" verticalDpi="360" r:id="rId1"/>
  <headerFooter>
    <oddFooter>&amp;RPágina &amp;P de &amp;N</oddFooter>
  </headerFooter>
  <rowBreaks count="5" manualBreakCount="5">
    <brk id="46" max="9" man="1"/>
    <brk id="144" max="9" man="1"/>
    <brk id="191" max="9" man="1"/>
    <brk id="235" max="9" man="1"/>
    <brk id="28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MEMORIA DE CALCULO</vt:lpstr>
      <vt:lpstr>'MEMORIA DE CALCULO'!Area_de_impressao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Gabriel Martins</cp:lastModifiedBy>
  <cp:lastPrinted>2023-06-05T14:07:39Z</cp:lastPrinted>
  <dcterms:created xsi:type="dcterms:W3CDTF">2021-02-12T14:48:20Z</dcterms:created>
  <dcterms:modified xsi:type="dcterms:W3CDTF">2023-06-05T14:08:00Z</dcterms:modified>
</cp:coreProperties>
</file>